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4.xml" ContentType="application/vnd.ms-excel.slicer+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C:\users\03128109\work folders\northernzone\b&amp;m mixtox\"/>
    </mc:Choice>
  </mc:AlternateContent>
  <xr:revisionPtr revIDLastSave="0" documentId="13_ncr:1_{19C7A3B4-0D1A-46DE-AD4C-2681809E52C5}" xr6:coauthVersionLast="47" xr6:coauthVersionMax="47" xr10:uidLastSave="{00000000-0000-0000-0000-000000000000}"/>
  <workbookProtection workbookAlgorithmName="SHA-512" workbookHashValue="y9sJv1CGp77ok4pjLky1IOe1Ez/U7R7FoVWTCn38RHSw2aw/TRD2roHFnAtMVgb5mJjsYsAAsMw1lECV31F0rQ==" workbookSaltValue="jEcZTeTMZERHFntlrDBf0A==" workbookSpinCount="100000" lockStructure="1"/>
  <bookViews>
    <workbookView xWindow="-120" yWindow="-120" windowWidth="29040" windowHeight="15840" xr2:uid="{4A441299-548A-4292-9C6A-AD3D8DEB19E3}"/>
  </bookViews>
  <sheets>
    <sheet name="Intro" sheetId="16" r:id="rId1"/>
    <sheet name="Input" sheetId="14" r:id="rId2"/>
    <sheet name="Birds Acute RA" sheetId="9" r:id="rId3"/>
    <sheet name="Birds Chronic RA" sheetId="13" r:id="rId4"/>
    <sheet name="Mammals Acute RA" sheetId="29" r:id="rId5"/>
    <sheet name="Mammals Chronic RA" sheetId="30" r:id="rId6"/>
    <sheet name="Calculations" sheetId="17" state="hidden" r:id="rId7"/>
    <sheet name="Process" sheetId="32" state="hidden" r:id="rId8"/>
    <sheet name="Factors" sheetId="31" state="hidden" r:id="rId9"/>
  </sheets>
  <definedNames>
    <definedName name="_xlnm._FilterDatabase" localSheetId="3" hidden="1">'Birds Chronic RA'!$G$41:$G$150</definedName>
    <definedName name="_xlnm._FilterDatabase" localSheetId="5" hidden="1">'Mammals Chronic RA'!$J$38:$J$230</definedName>
    <definedName name="_xlcn.WorksheetConnection_InputB35H49" hidden="1">Input!$B$36:$H$50</definedName>
    <definedName name="Active1">Calculations!$C$12</definedName>
    <definedName name="Active2">Calculations!$C$13</definedName>
    <definedName name="Active3">Calculations!$C$14</definedName>
    <definedName name="Active4">Calculations!$C$15</definedName>
    <definedName name="Active5">Calculations!$C$16</definedName>
    <definedName name="B_Acute_Form_Study">Calculations!$C$29</definedName>
    <definedName name="B_Chronic_Form_Study">Calculations!$E$29</definedName>
    <definedName name="B_ChronicScheme">Calculations!$P$29</definedName>
    <definedName name="B_Driver_ID">Calculations!$M$29</definedName>
    <definedName name="B_Driver_test">Calculations!$L$29</definedName>
    <definedName name="B_LD50_form">Calculations!$D$29</definedName>
    <definedName name="B_LD50_mix">Calculations!$G$29</definedName>
    <definedName name="B_MDR">Calculations!$H$29</definedName>
    <definedName name="B_NOAEL_form">Calculations!$F$29</definedName>
    <definedName name="Cmix">Calculations!$E$21</definedName>
    <definedName name="Count">Input!$C$11</definedName>
    <definedName name="Input_AS.Bird.LD50">Input!$C$25:$G$25</definedName>
    <definedName name="Input_AS.Bird.NOAEL">Input!$C$26:$G$26</definedName>
    <definedName name="Input_AS.Concentration">Input!$C$23:$G$23</definedName>
    <definedName name="Input_AS.Mammal.LD50">Input!$C$27:$G$27</definedName>
    <definedName name="Input_AS.Mammal.NOAEL">Input!$C$28:$G$28</definedName>
    <definedName name="Input_Scenario">Input!$C$37:$H$51</definedName>
    <definedName name="M_Acute_Form_Study">Calculations!$C$30</definedName>
    <definedName name="M_Chronic_Form_Study">Calculations!$E$30</definedName>
    <definedName name="M_ChronicScheme">Calculations!$P$30</definedName>
    <definedName name="M_Driver_ID">Calculations!$M$30</definedName>
    <definedName name="M_Driver_test">Calculations!$L$30</definedName>
    <definedName name="M_LD50_form">Calculations!$D$30</definedName>
    <definedName name="M_LD50_mix">Calculations!$G$30</definedName>
    <definedName name="M_MDR">Calculations!$H$30</definedName>
    <definedName name="M_NOAEL_form">Calculations!$F$30</definedName>
    <definedName name="Name_form">Calculations!$E$20</definedName>
    <definedName name="Slicer_BBCH_Scenario">#N/A</definedName>
    <definedName name="Slicer_BBCH_Scenario1">#N/A</definedName>
    <definedName name="Slicer_BBCH_Scenario12">#N/A</definedName>
    <definedName name="Slicer_BBCH_Scenario3">#N/A</definedName>
    <definedName name="Slicer_Crop">#N/A</definedName>
    <definedName name="Slicer_Crop1">#N/A</definedName>
    <definedName name="Slicer_Crop12">#N/A</definedName>
    <definedName name="Slicer_Crop3">#N/A</definedName>
    <definedName name="Slicer_M1">#N/A</definedName>
    <definedName name="Slicer_M2">#N/A</definedName>
    <definedName name="Slicer_Relevance2">#N/A</definedName>
    <definedName name="Slicer_Relevance22">#N/A</definedName>
    <definedName name="Step1" localSheetId="2">'Birds Acute RA'!$B$5</definedName>
    <definedName name="Step1" localSheetId="4">'Mammals Acute RA'!$B$5</definedName>
    <definedName name="Step2" localSheetId="4">'Mammals Acute RA'!$B$25</definedName>
    <definedName name="Step2">'Birds Acute RA'!$B$25</definedName>
    <definedName name="Step4" localSheetId="4">'Mammals Acute RA'!$B$39</definedName>
    <definedName name="Step4">'Birds Acute RA'!$B$40</definedName>
    <definedName name="Xmix">Calculations!$E$22</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Input!$B$35:$H$49"/>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7" l="1"/>
  <c r="G30" i="30" s="1"/>
  <c r="C13" i="13" l="1"/>
  <c r="B46" i="14"/>
  <c r="G30" i="13"/>
  <c r="H42" i="14" l="1"/>
  <c r="G42" i="14"/>
  <c r="F42" i="14"/>
  <c r="E42" i="14"/>
  <c r="D42" i="14"/>
  <c r="C42" i="14"/>
  <c r="C43" i="14"/>
  <c r="E41" i="14"/>
  <c r="H41" i="14"/>
  <c r="G41" i="14"/>
  <c r="F41" i="14"/>
  <c r="D41" i="14"/>
  <c r="C41" i="14"/>
  <c r="H131" i="9"/>
  <c r="H72" i="9"/>
  <c r="H73" i="9"/>
  <c r="H92" i="9"/>
  <c r="H93" i="9"/>
  <c r="H94" i="9"/>
  <c r="H95" i="9"/>
  <c r="H101" i="9"/>
  <c r="H102" i="9"/>
  <c r="H103" i="9"/>
  <c r="H104" i="9"/>
  <c r="H105" i="9"/>
  <c r="H106" i="9"/>
  <c r="H107" i="9"/>
  <c r="H108" i="9"/>
  <c r="H109" i="9"/>
  <c r="H110" i="9"/>
  <c r="H111" i="9"/>
  <c r="H112" i="9"/>
  <c r="H113" i="9"/>
  <c r="H114" i="9"/>
  <c r="H128" i="9"/>
  <c r="H129" i="9"/>
  <c r="H130" i="9"/>
  <c r="H132" i="9"/>
  <c r="H133" i="9"/>
  <c r="H134" i="9"/>
  <c r="H135" i="9"/>
  <c r="H136" i="9"/>
  <c r="H137" i="9"/>
  <c r="H138" i="9"/>
  <c r="H139" i="9"/>
  <c r="H140" i="9"/>
  <c r="H141" i="9"/>
  <c r="H142" i="9"/>
  <c r="H143" i="9"/>
  <c r="H144" i="9"/>
  <c r="H145" i="9"/>
  <c r="H146" i="9"/>
  <c r="H147" i="9"/>
  <c r="H148" i="9"/>
  <c r="H149" i="9"/>
  <c r="H150" i="9"/>
  <c r="H151" i="9"/>
  <c r="H152" i="9"/>
  <c r="H153" i="9"/>
  <c r="H154" i="9"/>
  <c r="H168" i="9"/>
  <c r="H169" i="9"/>
  <c r="H170" i="9"/>
  <c r="H171" i="9"/>
  <c r="H172" i="9"/>
  <c r="H173" i="9"/>
  <c r="H174" i="9"/>
  <c r="H175" i="9"/>
  <c r="H176" i="9"/>
  <c r="H177" i="9"/>
  <c r="H178" i="9"/>
  <c r="H182" i="9"/>
  <c r="H183" i="9"/>
  <c r="H184" i="9"/>
  <c r="H185" i="9"/>
  <c r="H186" i="9"/>
  <c r="H187" i="9"/>
  <c r="H188" i="9"/>
  <c r="H189" i="9"/>
  <c r="H190" i="9"/>
  <c r="D43" i="14"/>
  <c r="D44" i="14" s="1"/>
  <c r="H43" i="14"/>
  <c r="G43" i="14"/>
  <c r="F43" i="14"/>
  <c r="E43" i="14"/>
  <c r="A11" i="14"/>
  <c r="A14" i="14"/>
  <c r="A15" i="14"/>
  <c r="A25" i="14" a="1"/>
  <c r="A25" i="14" s="1"/>
  <c r="D8" i="32" s="1"/>
  <c r="E14" i="14"/>
  <c r="F20" i="14"/>
  <c r="F21" i="14" s="1"/>
  <c r="G20" i="14"/>
  <c r="G21" i="14" s="1"/>
  <c r="D20" i="14"/>
  <c r="D21" i="14" s="1"/>
  <c r="C20" i="14"/>
  <c r="C21" i="14" s="1"/>
  <c r="E20" i="14"/>
  <c r="E21" i="14" s="1"/>
  <c r="C35" i="14"/>
  <c r="G35" i="14"/>
  <c r="E35" i="14"/>
  <c r="H35" i="14"/>
  <c r="D35" i="14"/>
  <c r="F35" i="14"/>
  <c r="D14" i="9"/>
  <c r="E14" i="9" s="1"/>
  <c r="A23" i="14" a="1"/>
  <c r="A23" i="14" s="1"/>
  <c r="D14" i="29"/>
  <c r="E14" i="29" s="1"/>
  <c r="C12" i="17"/>
  <c r="J12" i="17" s="1" a="1"/>
  <c r="J12" i="17" s="1"/>
  <c r="A26" i="14" a="1"/>
  <c r="A26" i="14" s="1"/>
  <c r="D9" i="32" s="1"/>
  <c r="E30" i="17"/>
  <c r="E15" i="14"/>
  <c r="A28" i="14" a="1"/>
  <c r="A28" i="14" s="1"/>
  <c r="E9" i="32" s="1"/>
  <c r="A27" i="14" a="1"/>
  <c r="A27" i="14" s="1"/>
  <c r="E8" i="32" s="1"/>
  <c r="E29" i="17"/>
  <c r="C29" i="17"/>
  <c r="H214" i="29"/>
  <c r="H213" i="29"/>
  <c r="H212" i="29"/>
  <c r="H211" i="29"/>
  <c r="H210" i="29"/>
  <c r="H209" i="29"/>
  <c r="H208" i="29"/>
  <c r="H207" i="29"/>
  <c r="H206" i="29"/>
  <c r="H205" i="29"/>
  <c r="H204" i="29"/>
  <c r="H203" i="29"/>
  <c r="H202" i="29"/>
  <c r="H201" i="29"/>
  <c r="E44" i="14"/>
  <c r="C16" i="17"/>
  <c r="C15" i="17"/>
  <c r="C14" i="17"/>
  <c r="C13" i="17"/>
  <c r="H80" i="9"/>
  <c r="H81" i="9"/>
  <c r="H82" i="9"/>
  <c r="H83" i="9"/>
  <c r="H69" i="9"/>
  <c r="H68" i="9"/>
  <c r="H66" i="9"/>
  <c r="H70" i="9"/>
  <c r="H67" i="9"/>
  <c r="H71" i="9"/>
  <c r="H75" i="9"/>
  <c r="H79" i="9"/>
  <c r="H76" i="9"/>
  <c r="H77" i="9"/>
  <c r="H74" i="9"/>
  <c r="H78" i="9"/>
  <c r="H137" i="29"/>
  <c r="H134" i="29"/>
  <c r="H133" i="29"/>
  <c r="H135" i="29"/>
  <c r="H136" i="29"/>
  <c r="H132" i="29"/>
  <c r="H131" i="29"/>
  <c r="H183" i="29"/>
  <c r="H180" i="29"/>
  <c r="H181" i="29"/>
  <c r="H178" i="29"/>
  <c r="H179" i="29"/>
  <c r="H184" i="29"/>
  <c r="H182" i="29"/>
  <c r="H88" i="29"/>
  <c r="H89" i="29"/>
  <c r="H86" i="29"/>
  <c r="H85" i="29"/>
  <c r="H90" i="29"/>
  <c r="H87" i="29"/>
  <c r="H140" i="29"/>
  <c r="H149" i="29"/>
  <c r="H151" i="29"/>
  <c r="H148" i="29"/>
  <c r="H146" i="29"/>
  <c r="H143" i="29"/>
  <c r="H142" i="29"/>
  <c r="H145" i="29"/>
  <c r="H144" i="29"/>
  <c r="H150" i="29"/>
  <c r="H147" i="29"/>
  <c r="H138" i="29"/>
  <c r="H141" i="29"/>
  <c r="H139" i="29"/>
  <c r="H64" i="29"/>
  <c r="H66" i="29"/>
  <c r="H65" i="29"/>
  <c r="H67" i="29"/>
  <c r="H68" i="29"/>
  <c r="H155" i="29"/>
  <c r="H154" i="29"/>
  <c r="H152" i="29"/>
  <c r="H156" i="29"/>
  <c r="H153" i="29"/>
  <c r="H99" i="29"/>
  <c r="H100" i="29"/>
  <c r="H101" i="29"/>
  <c r="H102" i="29"/>
  <c r="H98" i="29"/>
  <c r="H84" i="29"/>
  <c r="H81" i="29"/>
  <c r="H82" i="29"/>
  <c r="H78" i="29"/>
  <c r="H79" i="29"/>
  <c r="H80" i="29"/>
  <c r="H83" i="29"/>
  <c r="H190" i="29"/>
  <c r="H186" i="29"/>
  <c r="H191" i="29"/>
  <c r="H188" i="29"/>
  <c r="H187" i="29"/>
  <c r="H185" i="29"/>
  <c r="H189" i="29"/>
  <c r="H111" i="29"/>
  <c r="H114" i="29"/>
  <c r="H113" i="29"/>
  <c r="H115" i="29"/>
  <c r="H109" i="29"/>
  <c r="H110" i="29"/>
  <c r="H112" i="29"/>
  <c r="H163" i="29"/>
  <c r="H157" i="29"/>
  <c r="H159" i="29"/>
  <c r="H161" i="29"/>
  <c r="H158" i="29"/>
  <c r="H160" i="29"/>
  <c r="H162" i="29"/>
  <c r="H73" i="29"/>
  <c r="H77" i="29"/>
  <c r="H71" i="29"/>
  <c r="H75" i="29"/>
  <c r="H74" i="29"/>
  <c r="H76" i="29"/>
  <c r="H70" i="29"/>
  <c r="H69" i="29"/>
  <c r="H72" i="29"/>
  <c r="H119" i="29"/>
  <c r="H120" i="29"/>
  <c r="H122" i="29"/>
  <c r="H116" i="29"/>
  <c r="H117" i="29"/>
  <c r="H121" i="29"/>
  <c r="H118" i="29"/>
  <c r="C30" i="17"/>
  <c r="Q260" i="30" l="1"/>
  <c r="Q252" i="30"/>
  <c r="Q236" i="30"/>
  <c r="Q228" i="30"/>
  <c r="Q220" i="30"/>
  <c r="Q204" i="30"/>
  <c r="Q196" i="30"/>
  <c r="Q188" i="30"/>
  <c r="Q180" i="30"/>
  <c r="Q172" i="30"/>
  <c r="Q156" i="30"/>
  <c r="Q148" i="30"/>
  <c r="Q132" i="30"/>
  <c r="Q124" i="30"/>
  <c r="Q116" i="30"/>
  <c r="Q108" i="30"/>
  <c r="Q100" i="30"/>
  <c r="Q84" i="30"/>
  <c r="Q68" i="30"/>
  <c r="Q52" i="30"/>
  <c r="Q44" i="30"/>
  <c r="Q36" i="30"/>
  <c r="Q120" i="30"/>
  <c r="Q104" i="30"/>
  <c r="Q259" i="30"/>
  <c r="Q251" i="30"/>
  <c r="Q235" i="30"/>
  <c r="Q227" i="30"/>
  <c r="Q219" i="30"/>
  <c r="Q203" i="30"/>
  <c r="Q195" i="30"/>
  <c r="Q187" i="30"/>
  <c r="Q179" i="30"/>
  <c r="Q171" i="30"/>
  <c r="Q155" i="30"/>
  <c r="Q147" i="30"/>
  <c r="Q131" i="30"/>
  <c r="Q123" i="30"/>
  <c r="Q115" i="30"/>
  <c r="Q107" i="30"/>
  <c r="Q91" i="30"/>
  <c r="Q83" i="30"/>
  <c r="Q67" i="30"/>
  <c r="Q59" i="30"/>
  <c r="Q51" i="30"/>
  <c r="Q43" i="30"/>
  <c r="Q35" i="30"/>
  <c r="Q88" i="30"/>
  <c r="Q48" i="30"/>
  <c r="Q71" i="30"/>
  <c r="Q47" i="30"/>
  <c r="Q197" i="30"/>
  <c r="Q157" i="30"/>
  <c r="Q109" i="30"/>
  <c r="Q258" i="30"/>
  <c r="Q250" i="30"/>
  <c r="Q234" i="30"/>
  <c r="Q226" i="30"/>
  <c r="Q202" i="30"/>
  <c r="Q194" i="30"/>
  <c r="Q186" i="30"/>
  <c r="Q178" i="30"/>
  <c r="Q170" i="30"/>
  <c r="Q154" i="30"/>
  <c r="Q146" i="30"/>
  <c r="Q130" i="30"/>
  <c r="Q122" i="30"/>
  <c r="Q114" i="30"/>
  <c r="Q106" i="30"/>
  <c r="Q90" i="30"/>
  <c r="Q82" i="30"/>
  <c r="Q58" i="30"/>
  <c r="Q50" i="30"/>
  <c r="Q42" i="30"/>
  <c r="Q34" i="30"/>
  <c r="Q144" i="30"/>
  <c r="Q56" i="30"/>
  <c r="Q79" i="30"/>
  <c r="Q257" i="30"/>
  <c r="Q249" i="30"/>
  <c r="Q233" i="30"/>
  <c r="Q225" i="30"/>
  <c r="Q209" i="30"/>
  <c r="Q201" i="30"/>
  <c r="Q193" i="30"/>
  <c r="Q185" i="30"/>
  <c r="Q177" i="30"/>
  <c r="Q153" i="30"/>
  <c r="Q145" i="30"/>
  <c r="Q129" i="30"/>
  <c r="Q121" i="30"/>
  <c r="Q113" i="30"/>
  <c r="Q105" i="30"/>
  <c r="Q89" i="30"/>
  <c r="Q81" i="30"/>
  <c r="Q57" i="30"/>
  <c r="Q49" i="30"/>
  <c r="Q41" i="30"/>
  <c r="Q33" i="30"/>
  <c r="Q152" i="30"/>
  <c r="Q80" i="30"/>
  <c r="Q40" i="30"/>
  <c r="Q87" i="30"/>
  <c r="Q39" i="30"/>
  <c r="Q85" i="30"/>
  <c r="Q256" i="30"/>
  <c r="Q248" i="30"/>
  <c r="Q232" i="30"/>
  <c r="Q224" i="30"/>
  <c r="Q208" i="30"/>
  <c r="Q200" i="30"/>
  <c r="Q192" i="30"/>
  <c r="Q184" i="30"/>
  <c r="Q176" i="30"/>
  <c r="Q160" i="30"/>
  <c r="Q128" i="30"/>
  <c r="Q112" i="30"/>
  <c r="Q55" i="30"/>
  <c r="Q205" i="30"/>
  <c r="Q125" i="30"/>
  <c r="Q53" i="30"/>
  <c r="Q255" i="30"/>
  <c r="Q247" i="30"/>
  <c r="Q231" i="30"/>
  <c r="Q223" i="30"/>
  <c r="Q207" i="30"/>
  <c r="Q199" i="30"/>
  <c r="Q191" i="30"/>
  <c r="Q183" i="30"/>
  <c r="Q175" i="30"/>
  <c r="Q159" i="30"/>
  <c r="Q151" i="30"/>
  <c r="Q143" i="30"/>
  <c r="Q127" i="30"/>
  <c r="Q119" i="30"/>
  <c r="Q111" i="30"/>
  <c r="Q103" i="30"/>
  <c r="Q189" i="30"/>
  <c r="Q101" i="30"/>
  <c r="Q37" i="30"/>
  <c r="Q254" i="30"/>
  <c r="Q230" i="30"/>
  <c r="Q222" i="30"/>
  <c r="Q206" i="30"/>
  <c r="Q198" i="30"/>
  <c r="Q190" i="30"/>
  <c r="Q182" i="30"/>
  <c r="Q174" i="30"/>
  <c r="Q158" i="30"/>
  <c r="Q150" i="30"/>
  <c r="Q142" i="30"/>
  <c r="Q126" i="30"/>
  <c r="Q118" i="30"/>
  <c r="Q110" i="30"/>
  <c r="Q102" i="30"/>
  <c r="Q86" i="30"/>
  <c r="Q78" i="30"/>
  <c r="Q70" i="30"/>
  <c r="Q54" i="30"/>
  <c r="Q46" i="30"/>
  <c r="Q38" i="30"/>
  <c r="Q253" i="30"/>
  <c r="Q237" i="30"/>
  <c r="Q229" i="30"/>
  <c r="Q221" i="30"/>
  <c r="Q181" i="30"/>
  <c r="Q173" i="30"/>
  <c r="Q149" i="30"/>
  <c r="Q117" i="30"/>
  <c r="Q69" i="30"/>
  <c r="Q45" i="30"/>
  <c r="O260" i="30"/>
  <c r="O252" i="30"/>
  <c r="O236" i="30"/>
  <c r="O228" i="30"/>
  <c r="O220" i="30"/>
  <c r="O204" i="30"/>
  <c r="O196" i="30"/>
  <c r="O188" i="30"/>
  <c r="O180" i="30"/>
  <c r="O172" i="30"/>
  <c r="O156" i="30"/>
  <c r="O148" i="30"/>
  <c r="O132" i="30"/>
  <c r="O124" i="30"/>
  <c r="O116" i="30"/>
  <c r="O108" i="30"/>
  <c r="O100" i="30"/>
  <c r="O84" i="30"/>
  <c r="O68" i="30"/>
  <c r="O52" i="30"/>
  <c r="O44" i="30"/>
  <c r="O36" i="30"/>
  <c r="O49" i="30"/>
  <c r="O40" i="30"/>
  <c r="O229" i="30"/>
  <c r="O181" i="30"/>
  <c r="O101" i="30"/>
  <c r="O53" i="30"/>
  <c r="O259" i="30"/>
  <c r="O251" i="30"/>
  <c r="O235" i="30"/>
  <c r="O227" i="30"/>
  <c r="O219" i="30"/>
  <c r="O203" i="30"/>
  <c r="O195" i="30"/>
  <c r="O187" i="30"/>
  <c r="O179" i="30"/>
  <c r="O171" i="30"/>
  <c r="O155" i="30"/>
  <c r="O147" i="30"/>
  <c r="O131" i="30"/>
  <c r="O123" i="30"/>
  <c r="O115" i="30"/>
  <c r="O107" i="30"/>
  <c r="O91" i="30"/>
  <c r="O83" i="30"/>
  <c r="O67" i="30"/>
  <c r="O59" i="30"/>
  <c r="O51" i="30"/>
  <c r="O43" i="30"/>
  <c r="O35" i="30"/>
  <c r="O258" i="30"/>
  <c r="O250" i="30"/>
  <c r="O234" i="30"/>
  <c r="O226" i="30"/>
  <c r="O202" i="30"/>
  <c r="O194" i="30"/>
  <c r="O186" i="30"/>
  <c r="O178" i="30"/>
  <c r="O170" i="30"/>
  <c r="O154" i="30"/>
  <c r="O146" i="30"/>
  <c r="O130" i="30"/>
  <c r="O122" i="30"/>
  <c r="O114" i="30"/>
  <c r="O106" i="30"/>
  <c r="O90" i="30"/>
  <c r="O82" i="30"/>
  <c r="O58" i="30"/>
  <c r="O50" i="30"/>
  <c r="O42" i="30"/>
  <c r="O34" i="30"/>
  <c r="O57" i="30"/>
  <c r="O33" i="30"/>
  <c r="O237" i="30"/>
  <c r="O149" i="30"/>
  <c r="O37" i="30"/>
  <c r="O257" i="30"/>
  <c r="O249" i="30"/>
  <c r="O233" i="30"/>
  <c r="O225" i="30"/>
  <c r="O209" i="30"/>
  <c r="O201" i="30"/>
  <c r="O193" i="30"/>
  <c r="O185" i="30"/>
  <c r="O177" i="30"/>
  <c r="O153" i="30"/>
  <c r="O145" i="30"/>
  <c r="O129" i="30"/>
  <c r="O121" i="30"/>
  <c r="O113" i="30"/>
  <c r="O105" i="30"/>
  <c r="O89" i="30"/>
  <c r="O81" i="30"/>
  <c r="O41" i="30"/>
  <c r="O221" i="30"/>
  <c r="O157" i="30"/>
  <c r="O117" i="30"/>
  <c r="O256" i="30"/>
  <c r="O248" i="30"/>
  <c r="O232" i="30"/>
  <c r="O224" i="30"/>
  <c r="O208" i="30"/>
  <c r="O200" i="30"/>
  <c r="O192" i="30"/>
  <c r="O184" i="30"/>
  <c r="O176" i="30"/>
  <c r="O160" i="30"/>
  <c r="O152" i="30"/>
  <c r="O144" i="30"/>
  <c r="O128" i="30"/>
  <c r="O120" i="30"/>
  <c r="O112" i="30"/>
  <c r="O104" i="30"/>
  <c r="O88" i="30"/>
  <c r="O80" i="30"/>
  <c r="O56" i="30"/>
  <c r="O48" i="30"/>
  <c r="O173" i="30"/>
  <c r="O125" i="30"/>
  <c r="O85" i="30"/>
  <c r="O45" i="30"/>
  <c r="O255" i="30"/>
  <c r="O247" i="30"/>
  <c r="O231" i="30"/>
  <c r="O223" i="30"/>
  <c r="O207" i="30"/>
  <c r="O199" i="30"/>
  <c r="O191" i="30"/>
  <c r="O183" i="30"/>
  <c r="O175" i="30"/>
  <c r="O159" i="30"/>
  <c r="O151" i="30"/>
  <c r="O143" i="30"/>
  <c r="O127" i="30"/>
  <c r="O119" i="30"/>
  <c r="O111" i="30"/>
  <c r="O103" i="30"/>
  <c r="O87" i="30"/>
  <c r="O79" i="30"/>
  <c r="O71" i="30"/>
  <c r="O55" i="30"/>
  <c r="O47" i="30"/>
  <c r="O39" i="30"/>
  <c r="O254" i="30"/>
  <c r="O230" i="30"/>
  <c r="O222" i="30"/>
  <c r="O206" i="30"/>
  <c r="O198" i="30"/>
  <c r="O190" i="30"/>
  <c r="O182" i="30"/>
  <c r="O174" i="30"/>
  <c r="O158" i="30"/>
  <c r="O150" i="30"/>
  <c r="O142" i="30"/>
  <c r="O126" i="30"/>
  <c r="O118" i="30"/>
  <c r="O110" i="30"/>
  <c r="O102" i="30"/>
  <c r="O86" i="30"/>
  <c r="O78" i="30"/>
  <c r="O70" i="30"/>
  <c r="O54" i="30"/>
  <c r="O46" i="30"/>
  <c r="O38" i="30"/>
  <c r="O253" i="30"/>
  <c r="O205" i="30"/>
  <c r="O197" i="30"/>
  <c r="O189" i="30"/>
  <c r="O109" i="30"/>
  <c r="O69" i="30"/>
  <c r="M260" i="30"/>
  <c r="M252" i="30"/>
  <c r="M236" i="30"/>
  <c r="M228" i="30"/>
  <c r="M220" i="30"/>
  <c r="M204" i="30"/>
  <c r="M196" i="30"/>
  <c r="M188" i="30"/>
  <c r="M180" i="30"/>
  <c r="M172" i="30"/>
  <c r="M156" i="30"/>
  <c r="M148" i="30"/>
  <c r="M132" i="30"/>
  <c r="M124" i="30"/>
  <c r="M116" i="30"/>
  <c r="M108" i="30"/>
  <c r="M100" i="30"/>
  <c r="M84" i="30"/>
  <c r="M68" i="30"/>
  <c r="M52" i="30"/>
  <c r="M44" i="30"/>
  <c r="M36" i="30"/>
  <c r="M57" i="30"/>
  <c r="M41" i="30"/>
  <c r="M259" i="30"/>
  <c r="M251" i="30"/>
  <c r="M235" i="30"/>
  <c r="M227" i="30"/>
  <c r="M219" i="30"/>
  <c r="M203" i="30"/>
  <c r="M195" i="30"/>
  <c r="M187" i="30"/>
  <c r="M179" i="30"/>
  <c r="M171" i="30"/>
  <c r="M155" i="30"/>
  <c r="M147" i="30"/>
  <c r="M131" i="30"/>
  <c r="M123" i="30"/>
  <c r="M115" i="30"/>
  <c r="M107" i="30"/>
  <c r="M91" i="30"/>
  <c r="M83" i="30"/>
  <c r="M67" i="30"/>
  <c r="M59" i="30"/>
  <c r="M51" i="30"/>
  <c r="M43" i="30"/>
  <c r="M35" i="30"/>
  <c r="M258" i="30"/>
  <c r="M250" i="30"/>
  <c r="M234" i="30"/>
  <c r="M226" i="30"/>
  <c r="M202" i="30"/>
  <c r="M194" i="30"/>
  <c r="M186" i="30"/>
  <c r="M178" i="30"/>
  <c r="M170" i="30"/>
  <c r="M154" i="30"/>
  <c r="M146" i="30"/>
  <c r="M130" i="30"/>
  <c r="M122" i="30"/>
  <c r="M114" i="30"/>
  <c r="M106" i="30"/>
  <c r="M90" i="30"/>
  <c r="M82" i="30"/>
  <c r="M58" i="30"/>
  <c r="M50" i="30"/>
  <c r="M42" i="30"/>
  <c r="M34" i="30"/>
  <c r="M257" i="30"/>
  <c r="M249" i="30"/>
  <c r="M233" i="30"/>
  <c r="M225" i="30"/>
  <c r="M209" i="30"/>
  <c r="M201" i="30"/>
  <c r="M193" i="30"/>
  <c r="M185" i="30"/>
  <c r="M177" i="30"/>
  <c r="M153" i="30"/>
  <c r="M145" i="30"/>
  <c r="M129" i="30"/>
  <c r="M121" i="30"/>
  <c r="M113" i="30"/>
  <c r="M105" i="30"/>
  <c r="M89" i="30"/>
  <c r="M81" i="30"/>
  <c r="M49" i="30"/>
  <c r="M33" i="30"/>
  <c r="M256" i="30"/>
  <c r="M248" i="30"/>
  <c r="M232" i="30"/>
  <c r="M224" i="30"/>
  <c r="M208" i="30"/>
  <c r="M200" i="30"/>
  <c r="M192" i="30"/>
  <c r="M184" i="30"/>
  <c r="M176" i="30"/>
  <c r="M160" i="30"/>
  <c r="M152" i="30"/>
  <c r="M144" i="30"/>
  <c r="M128" i="30"/>
  <c r="M120" i="30"/>
  <c r="M112" i="30"/>
  <c r="M104" i="30"/>
  <c r="M88" i="30"/>
  <c r="M80" i="30"/>
  <c r="M56" i="30"/>
  <c r="M48" i="30"/>
  <c r="M40" i="30"/>
  <c r="M255" i="30"/>
  <c r="M247" i="30"/>
  <c r="M231" i="30"/>
  <c r="M223" i="30"/>
  <c r="M207" i="30"/>
  <c r="M199" i="30"/>
  <c r="M191" i="30"/>
  <c r="M183" i="30"/>
  <c r="M175" i="30"/>
  <c r="M159" i="30"/>
  <c r="M151" i="30"/>
  <c r="M143" i="30"/>
  <c r="M127" i="30"/>
  <c r="M119" i="30"/>
  <c r="M111" i="30"/>
  <c r="M103" i="30"/>
  <c r="M87" i="30"/>
  <c r="M79" i="30"/>
  <c r="M71" i="30"/>
  <c r="M55" i="30"/>
  <c r="M47" i="30"/>
  <c r="M39" i="30"/>
  <c r="M254" i="30"/>
  <c r="M230" i="30"/>
  <c r="M222" i="30"/>
  <c r="M206" i="30"/>
  <c r="M198" i="30"/>
  <c r="M190" i="30"/>
  <c r="M182" i="30"/>
  <c r="M174" i="30"/>
  <c r="M158" i="30"/>
  <c r="M150" i="30"/>
  <c r="M142" i="30"/>
  <c r="M126" i="30"/>
  <c r="M118" i="30"/>
  <c r="M110" i="30"/>
  <c r="M102" i="30"/>
  <c r="M86" i="30"/>
  <c r="M78" i="30"/>
  <c r="M70" i="30"/>
  <c r="M54" i="30"/>
  <c r="M46" i="30"/>
  <c r="M38" i="30"/>
  <c r="M253" i="30"/>
  <c r="M237" i="30"/>
  <c r="M229" i="30"/>
  <c r="M221" i="30"/>
  <c r="M205" i="30"/>
  <c r="M197" i="30"/>
  <c r="M189" i="30"/>
  <c r="M181" i="30"/>
  <c r="M173" i="30"/>
  <c r="M157" i="30"/>
  <c r="M149" i="30"/>
  <c r="M125" i="30"/>
  <c r="M117" i="30"/>
  <c r="M109" i="30"/>
  <c r="M101" i="30"/>
  <c r="M85" i="30"/>
  <c r="M69" i="30"/>
  <c r="M53" i="30"/>
  <c r="M45" i="30"/>
  <c r="M37" i="30"/>
  <c r="E13" i="13"/>
  <c r="F13" i="13" s="1"/>
  <c r="F30" i="17"/>
  <c r="I13" i="17" a="1"/>
  <c r="I13" i="17" s="1"/>
  <c r="J13" i="17" a="1"/>
  <c r="J13" i="17" s="1"/>
  <c r="I14" i="17" a="1"/>
  <c r="I14" i="17" s="1"/>
  <c r="J14" i="17" a="1"/>
  <c r="J14" i="17" s="1"/>
  <c r="I15" i="17" a="1"/>
  <c r="I15" i="17" s="1"/>
  <c r="J15" i="17" a="1"/>
  <c r="J15" i="17" s="1"/>
  <c r="I16" i="17" a="1"/>
  <c r="I16" i="17" s="1"/>
  <c r="J16" i="17" a="1"/>
  <c r="J16" i="17" s="1"/>
  <c r="I12" i="17" a="1"/>
  <c r="I12" i="17" s="1"/>
  <c r="H13" i="17" a="1"/>
  <c r="H13" i="17" s="1"/>
  <c r="H14" i="17" a="1"/>
  <c r="H14" i="17" s="1"/>
  <c r="H15" i="17" a="1"/>
  <c r="H15" i="17" s="1"/>
  <c r="H12" i="17" a="1"/>
  <c r="H12" i="17" s="1"/>
  <c r="H16" i="17" a="1"/>
  <c r="H16" i="17" s="1"/>
  <c r="E13" i="17" a="1"/>
  <c r="E13" i="17" s="1"/>
  <c r="G13" i="17" a="1"/>
  <c r="G13" i="17" s="1"/>
  <c r="E14" i="17" a="1"/>
  <c r="E14" i="17" s="1"/>
  <c r="G14" i="17" a="1"/>
  <c r="G14" i="17" s="1"/>
  <c r="E15" i="17" a="1"/>
  <c r="E15" i="17" s="1"/>
  <c r="G15" i="17" a="1"/>
  <c r="G15" i="17" s="1"/>
  <c r="E16" i="17" a="1"/>
  <c r="E16" i="17" s="1"/>
  <c r="G16" i="17" a="1"/>
  <c r="G16" i="17" s="1"/>
  <c r="E12" i="17" a="1"/>
  <c r="E12" i="17" s="1"/>
  <c r="G12" i="17" a="1"/>
  <c r="G12" i="17" s="1"/>
  <c r="A16" i="17" a="1"/>
  <c r="A16" i="17" s="1"/>
  <c r="D15" i="17"/>
  <c r="C17" i="30" s="1"/>
  <c r="D14" i="17"/>
  <c r="C16" i="30" s="1"/>
  <c r="K237" i="30"/>
  <c r="I260" i="30"/>
  <c r="F44" i="14"/>
  <c r="G44" i="14"/>
  <c r="Q138" i="13"/>
  <c r="Q116" i="13"/>
  <c r="Q114" i="13"/>
  <c r="Q113" i="13"/>
  <c r="C51" i="14"/>
  <c r="Q32" i="30" s="1"/>
  <c r="Q141" i="13"/>
  <c r="Q109" i="13"/>
  <c r="Q42" i="13"/>
  <c r="Q137" i="13"/>
  <c r="Q139" i="13"/>
  <c r="Q111" i="13"/>
  <c r="Q112" i="13"/>
  <c r="Q110" i="13"/>
  <c r="Q117" i="13"/>
  <c r="Q41" i="13"/>
  <c r="Q72" i="13"/>
  <c r="Q63" i="13"/>
  <c r="Q153" i="13"/>
  <c r="Q115" i="13"/>
  <c r="Q64" i="13"/>
  <c r="Q133" i="13"/>
  <c r="Q75" i="13"/>
  <c r="I113" i="13"/>
  <c r="Q62" i="13"/>
  <c r="Q61" i="13"/>
  <c r="Q46" i="13"/>
  <c r="Q107" i="13"/>
  <c r="Q140" i="13"/>
  <c r="Q136" i="13"/>
  <c r="Q144" i="13"/>
  <c r="Q82" i="13"/>
  <c r="Q122" i="13"/>
  <c r="Q48" i="13"/>
  <c r="Q120" i="13"/>
  <c r="M140" i="13"/>
  <c r="Q39" i="13"/>
  <c r="Q47" i="13"/>
  <c r="I188" i="30"/>
  <c r="I119" i="30"/>
  <c r="I197" i="30"/>
  <c r="I111" i="13"/>
  <c r="Q40" i="13"/>
  <c r="Q77" i="13"/>
  <c r="Q151" i="13"/>
  <c r="I116" i="13"/>
  <c r="I108" i="30"/>
  <c r="I193" i="30"/>
  <c r="I115" i="30"/>
  <c r="I68" i="30"/>
  <c r="I185" i="30"/>
  <c r="I195" i="30"/>
  <c r="I67" i="30"/>
  <c r="M74" i="13"/>
  <c r="I149" i="30"/>
  <c r="I111" i="30"/>
  <c r="I61" i="13"/>
  <c r="I224" i="30"/>
  <c r="I191" i="30"/>
  <c r="I151" i="30"/>
  <c r="M142" i="13"/>
  <c r="M39" i="13"/>
  <c r="Q43" i="13"/>
  <c r="I45" i="13"/>
  <c r="I174" i="30"/>
  <c r="Q104" i="13"/>
  <c r="Q79" i="13"/>
  <c r="I100" i="13"/>
  <c r="Q123" i="13"/>
  <c r="I100" i="30"/>
  <c r="I97" i="13"/>
  <c r="I117" i="13"/>
  <c r="I192" i="30"/>
  <c r="I189" i="30"/>
  <c r="I107" i="30"/>
  <c r="I120" i="30"/>
  <c r="I70" i="30"/>
  <c r="M62" i="13"/>
  <c r="I138" i="13"/>
  <c r="I49" i="13"/>
  <c r="I75" i="13"/>
  <c r="I112" i="13"/>
  <c r="I115" i="13"/>
  <c r="I113" i="30"/>
  <c r="I116" i="30"/>
  <c r="I187" i="30"/>
  <c r="I184" i="30"/>
  <c r="I64" i="13"/>
  <c r="I140" i="13"/>
  <c r="I55" i="30"/>
  <c r="I119" i="13"/>
  <c r="I109" i="13"/>
  <c r="K41" i="13"/>
  <c r="I114" i="30"/>
  <c r="I196" i="30"/>
  <c r="I112" i="30"/>
  <c r="I63" i="13"/>
  <c r="Q119" i="13"/>
  <c r="I139" i="13"/>
  <c r="I181" i="30"/>
  <c r="I114" i="13"/>
  <c r="M138" i="13"/>
  <c r="O114" i="13"/>
  <c r="I194" i="30"/>
  <c r="I186" i="30"/>
  <c r="I118" i="30"/>
  <c r="I71" i="30"/>
  <c r="K52" i="13"/>
  <c r="M77" i="13"/>
  <c r="I225" i="30"/>
  <c r="I42" i="30"/>
  <c r="I86" i="30"/>
  <c r="H51" i="14"/>
  <c r="Q214" i="30" s="1"/>
  <c r="M120" i="13"/>
  <c r="I110" i="13"/>
  <c r="I110" i="30"/>
  <c r="I109" i="30"/>
  <c r="I190" i="30"/>
  <c r="I117" i="30"/>
  <c r="I62" i="13"/>
  <c r="I69" i="30"/>
  <c r="M71" i="13"/>
  <c r="I50" i="13"/>
  <c r="I153" i="13"/>
  <c r="C44" i="14"/>
  <c r="O42" i="13"/>
  <c r="K152" i="30"/>
  <c r="O38" i="13"/>
  <c r="Q73" i="13"/>
  <c r="Q134" i="13"/>
  <c r="Q132" i="13"/>
  <c r="Q51" i="13"/>
  <c r="I171" i="30"/>
  <c r="K188" i="30"/>
  <c r="O137" i="13"/>
  <c r="Q145" i="13"/>
  <c r="Q158" i="13"/>
  <c r="Q83" i="13"/>
  <c r="O39" i="13"/>
  <c r="M123" i="13"/>
  <c r="Q76" i="13"/>
  <c r="Q81" i="13"/>
  <c r="Q50" i="13"/>
  <c r="M110" i="13"/>
  <c r="M112" i="13"/>
  <c r="M49" i="13"/>
  <c r="H49" i="14"/>
  <c r="M135" i="30" s="1"/>
  <c r="M156" i="13"/>
  <c r="M46" i="13"/>
  <c r="M118" i="13"/>
  <c r="M80" i="13"/>
  <c r="M43" i="13"/>
  <c r="M107" i="13"/>
  <c r="M111" i="13"/>
  <c r="M137" i="13"/>
  <c r="M64" i="13"/>
  <c r="M52" i="13"/>
  <c r="C49" i="14"/>
  <c r="O34" i="13" s="1"/>
  <c r="M45" i="13"/>
  <c r="M70" i="13"/>
  <c r="M122" i="13"/>
  <c r="M104" i="13"/>
  <c r="M47" i="13"/>
  <c r="M119" i="13"/>
  <c r="M42" i="13"/>
  <c r="M109" i="13"/>
  <c r="M38" i="13"/>
  <c r="M50" i="13"/>
  <c r="M44" i="13"/>
  <c r="M101" i="13"/>
  <c r="M78" i="13"/>
  <c r="M146" i="13"/>
  <c r="M152" i="13"/>
  <c r="M75" i="13"/>
  <c r="M143" i="13"/>
  <c r="M113" i="13"/>
  <c r="M41" i="13"/>
  <c r="M37" i="13"/>
  <c r="M36" i="13"/>
  <c r="M76" i="13"/>
  <c r="M105" i="13"/>
  <c r="M82" i="13"/>
  <c r="M154" i="13"/>
  <c r="M73" i="13"/>
  <c r="M79" i="13"/>
  <c r="M147" i="13"/>
  <c r="M116" i="13"/>
  <c r="M114" i="13"/>
  <c r="M51" i="13"/>
  <c r="M100" i="13"/>
  <c r="M121" i="13"/>
  <c r="M98" i="13"/>
  <c r="M158" i="13"/>
  <c r="M81" i="13"/>
  <c r="M83" i="13"/>
  <c r="M151" i="13"/>
  <c r="M139" i="13"/>
  <c r="M141" i="13"/>
  <c r="M61" i="13"/>
  <c r="M63" i="13"/>
  <c r="M35" i="13"/>
  <c r="M108" i="13"/>
  <c r="M145" i="13"/>
  <c r="M102" i="13"/>
  <c r="M48" i="13"/>
  <c r="M97" i="13"/>
  <c r="M99" i="13"/>
  <c r="M155" i="13"/>
  <c r="M115" i="13"/>
  <c r="M117" i="13"/>
  <c r="M40" i="13"/>
  <c r="M144" i="13"/>
  <c r="M157" i="13"/>
  <c r="M106" i="13"/>
  <c r="M72" i="13"/>
  <c r="M153" i="13"/>
  <c r="M103" i="13"/>
  <c r="M159" i="13"/>
  <c r="Q155" i="13"/>
  <c r="I151" i="13"/>
  <c r="K151" i="30"/>
  <c r="K112" i="30"/>
  <c r="O157" i="13"/>
  <c r="I53" i="30"/>
  <c r="I80" i="13"/>
  <c r="I205" i="30"/>
  <c r="I259" i="30"/>
  <c r="K41" i="30"/>
  <c r="K196" i="30"/>
  <c r="K120" i="13"/>
  <c r="O78" i="13"/>
  <c r="O75" i="13"/>
  <c r="I38" i="13"/>
  <c r="I79" i="13"/>
  <c r="I90" i="30"/>
  <c r="I232" i="30"/>
  <c r="K118" i="30"/>
  <c r="K108" i="13"/>
  <c r="O37" i="13"/>
  <c r="O118" i="13"/>
  <c r="O107" i="13"/>
  <c r="K103" i="30"/>
  <c r="I40" i="13"/>
  <c r="I107" i="13"/>
  <c r="I130" i="30"/>
  <c r="I236" i="30"/>
  <c r="K38" i="30"/>
  <c r="O77" i="13"/>
  <c r="K191" i="30"/>
  <c r="O121" i="13"/>
  <c r="O154" i="13"/>
  <c r="I121" i="30"/>
  <c r="K139" i="13"/>
  <c r="K229" i="30"/>
  <c r="I46" i="30"/>
  <c r="I145" i="13"/>
  <c r="I155" i="13"/>
  <c r="I51" i="30"/>
  <c r="K109" i="13"/>
  <c r="K110" i="13"/>
  <c r="K119" i="30"/>
  <c r="K148" i="30"/>
  <c r="K193" i="30"/>
  <c r="K192" i="30"/>
  <c r="K189" i="30"/>
  <c r="K67" i="30"/>
  <c r="H48" i="14"/>
  <c r="K101" i="13"/>
  <c r="K79" i="13"/>
  <c r="K255" i="30"/>
  <c r="K116" i="13"/>
  <c r="K137" i="13"/>
  <c r="K39" i="30"/>
  <c r="K116" i="30"/>
  <c r="K108" i="30"/>
  <c r="K187" i="30"/>
  <c r="K111" i="30"/>
  <c r="K70" i="30"/>
  <c r="K49" i="30"/>
  <c r="K121" i="13"/>
  <c r="K83" i="13"/>
  <c r="K157" i="30"/>
  <c r="K111" i="13"/>
  <c r="K113" i="13"/>
  <c r="K225" i="30"/>
  <c r="K147" i="30"/>
  <c r="K44" i="30"/>
  <c r="K185" i="30"/>
  <c r="K109" i="30"/>
  <c r="K47" i="13"/>
  <c r="K70" i="13"/>
  <c r="K119" i="13"/>
  <c r="K80" i="30"/>
  <c r="K114" i="13"/>
  <c r="K42" i="13"/>
  <c r="K45" i="30"/>
  <c r="K115" i="30"/>
  <c r="K107" i="30"/>
  <c r="K226" i="30"/>
  <c r="K53" i="30"/>
  <c r="K56" i="30"/>
  <c r="K74" i="13"/>
  <c r="K123" i="13"/>
  <c r="K102" i="30"/>
  <c r="K128" i="30"/>
  <c r="K140" i="13"/>
  <c r="K117" i="13"/>
  <c r="K186" i="30"/>
  <c r="K117" i="30"/>
  <c r="K43" i="30"/>
  <c r="K194" i="30"/>
  <c r="K69" i="30"/>
  <c r="K102" i="13"/>
  <c r="K202" i="30"/>
  <c r="K176" i="30"/>
  <c r="K112" i="13"/>
  <c r="K138" i="13"/>
  <c r="K184" i="30"/>
  <c r="K149" i="30"/>
  <c r="K150" i="30"/>
  <c r="K153" i="30"/>
  <c r="K224" i="30"/>
  <c r="K35" i="13"/>
  <c r="K106" i="13"/>
  <c r="K254" i="30"/>
  <c r="K232" i="30"/>
  <c r="K104" i="13"/>
  <c r="K146" i="13"/>
  <c r="I79" i="30"/>
  <c r="H50" i="14"/>
  <c r="Q126" i="13" s="1"/>
  <c r="O108" i="13"/>
  <c r="O45" i="13"/>
  <c r="O81" i="13"/>
  <c r="O48" i="13"/>
  <c r="O46" i="13"/>
  <c r="O82" i="13"/>
  <c r="O122" i="13"/>
  <c r="O43" i="13"/>
  <c r="O79" i="13"/>
  <c r="O119" i="13"/>
  <c r="O151" i="13"/>
  <c r="O109" i="13"/>
  <c r="O139" i="13"/>
  <c r="O116" i="13"/>
  <c r="O158" i="13"/>
  <c r="O83" i="13"/>
  <c r="O141" i="13"/>
  <c r="O132" i="13"/>
  <c r="O133" i="13"/>
  <c r="O80" i="13"/>
  <c r="O36" i="13"/>
  <c r="O120" i="13"/>
  <c r="O51" i="13"/>
  <c r="O155" i="13"/>
  <c r="O41" i="13"/>
  <c r="O111" i="13"/>
  <c r="O64" i="13"/>
  <c r="D50" i="14"/>
  <c r="Q58" i="13" s="1"/>
  <c r="O144" i="13"/>
  <c r="O145" i="13"/>
  <c r="O134" i="13"/>
  <c r="O40" i="13"/>
  <c r="O131" i="13"/>
  <c r="O115" i="13"/>
  <c r="O50" i="13"/>
  <c r="O47" i="13"/>
  <c r="O140" i="13"/>
  <c r="O44" i="13"/>
  <c r="O97" i="13"/>
  <c r="O104" i="13"/>
  <c r="O98" i="13"/>
  <c r="O142" i="13"/>
  <c r="O52" i="13"/>
  <c r="O135" i="13"/>
  <c r="O159" i="13"/>
  <c r="O62" i="13"/>
  <c r="O61" i="13"/>
  <c r="O49" i="13"/>
  <c r="O100" i="13"/>
  <c r="O123" i="13"/>
  <c r="O113" i="13"/>
  <c r="O112" i="13"/>
  <c r="O110" i="13"/>
  <c r="O138" i="13"/>
  <c r="O117" i="13"/>
  <c r="O63" i="13"/>
  <c r="O156" i="13"/>
  <c r="O101" i="13"/>
  <c r="O153" i="13"/>
  <c r="O136" i="13"/>
  <c r="O70" i="13"/>
  <c r="O102" i="13"/>
  <c r="O146" i="13"/>
  <c r="O152" i="13"/>
  <c r="O99" i="13"/>
  <c r="O143" i="13"/>
  <c r="G51" i="14"/>
  <c r="Q242" i="30" s="1"/>
  <c r="C50" i="14"/>
  <c r="Q34" i="13" s="1"/>
  <c r="O72" i="13"/>
  <c r="O73" i="13"/>
  <c r="O105" i="13"/>
  <c r="O74" i="13"/>
  <c r="O106" i="13"/>
  <c r="O76" i="13"/>
  <c r="O35" i="13"/>
  <c r="O71" i="13"/>
  <c r="O103" i="13"/>
  <c r="O147" i="13"/>
  <c r="I123" i="30"/>
  <c r="I175" i="30"/>
  <c r="G49" i="14"/>
  <c r="M169" i="30" s="1"/>
  <c r="F49" i="14"/>
  <c r="O96" i="13" s="1"/>
  <c r="H44" i="14"/>
  <c r="G50" i="14"/>
  <c r="O243" i="30" s="1"/>
  <c r="F51" i="14"/>
  <c r="Q93" i="30" s="1"/>
  <c r="F50" i="14"/>
  <c r="Q96" i="13" s="1"/>
  <c r="E13" i="30"/>
  <c r="F13" i="30" s="1"/>
  <c r="I85" i="30"/>
  <c r="E5" i="32"/>
  <c r="D51" i="14"/>
  <c r="Q60" i="30" s="1"/>
  <c r="D47" i="14"/>
  <c r="D16" i="17"/>
  <c r="H47" i="14"/>
  <c r="I178" i="30"/>
  <c r="I127" i="30"/>
  <c r="I233" i="30"/>
  <c r="I156" i="30"/>
  <c r="I160" i="30"/>
  <c r="F47" i="14"/>
  <c r="C48" i="14"/>
  <c r="K34" i="13" s="1"/>
  <c r="K172" i="30"/>
  <c r="K124" i="30"/>
  <c r="K52" i="30"/>
  <c r="K251" i="30"/>
  <c r="K207" i="30"/>
  <c r="K155" i="30"/>
  <c r="K209" i="30"/>
  <c r="K250" i="30"/>
  <c r="K198" i="30"/>
  <c r="K205" i="30"/>
  <c r="K160" i="30"/>
  <c r="K104" i="30"/>
  <c r="K253" i="30"/>
  <c r="K247" i="30"/>
  <c r="K203" i="30"/>
  <c r="K177" i="30"/>
  <c r="K234" i="30"/>
  <c r="K182" i="30"/>
  <c r="K181" i="30"/>
  <c r="K107" i="13"/>
  <c r="K75" i="13"/>
  <c r="K81" i="13"/>
  <c r="K142" i="13"/>
  <c r="K98" i="13"/>
  <c r="K157" i="13"/>
  <c r="K100" i="13"/>
  <c r="G48" i="14"/>
  <c r="D48" i="14"/>
  <c r="K37" i="13"/>
  <c r="K33" i="30"/>
  <c r="K35" i="30"/>
  <c r="K44" i="13"/>
  <c r="K50" i="30"/>
  <c r="K64" i="13"/>
  <c r="K63" i="13"/>
  <c r="K260" i="30"/>
  <c r="K156" i="30"/>
  <c r="K100" i="30"/>
  <c r="K233" i="30"/>
  <c r="K121" i="30"/>
  <c r="K235" i="30"/>
  <c r="K199" i="30"/>
  <c r="K91" i="30"/>
  <c r="K178" i="30"/>
  <c r="K90" i="30"/>
  <c r="K147" i="13"/>
  <c r="K103" i="13"/>
  <c r="K71" i="13"/>
  <c r="K73" i="13"/>
  <c r="K77" i="13"/>
  <c r="K141" i="13"/>
  <c r="K36" i="30"/>
  <c r="K49" i="13"/>
  <c r="K51" i="30"/>
  <c r="K61" i="13"/>
  <c r="D13" i="17"/>
  <c r="B48" i="14" s="1"/>
  <c r="K256" i="30"/>
  <c r="K208" i="30"/>
  <c r="K105" i="30"/>
  <c r="K231" i="30"/>
  <c r="K183" i="30"/>
  <c r="K87" i="30"/>
  <c r="K129" i="30"/>
  <c r="K174" i="30"/>
  <c r="K130" i="30"/>
  <c r="K86" i="30"/>
  <c r="K125" i="30"/>
  <c r="K143" i="13"/>
  <c r="K99" i="13"/>
  <c r="K145" i="13"/>
  <c r="K152" i="13"/>
  <c r="K76" i="13"/>
  <c r="K153" i="13"/>
  <c r="K156" i="13"/>
  <c r="K54" i="30"/>
  <c r="K58" i="30"/>
  <c r="K43" i="13"/>
  <c r="K46" i="13"/>
  <c r="K48" i="30"/>
  <c r="K252" i="30"/>
  <c r="K204" i="30"/>
  <c r="K179" i="30"/>
  <c r="K131" i="30"/>
  <c r="K83" i="30"/>
  <c r="K170" i="30"/>
  <c r="K126" i="30"/>
  <c r="K82" i="30"/>
  <c r="K101" i="30"/>
  <c r="K159" i="13"/>
  <c r="K158" i="13"/>
  <c r="K80" i="13"/>
  <c r="K36" i="13"/>
  <c r="K50" i="13"/>
  <c r="K51" i="13"/>
  <c r="K57" i="30"/>
  <c r="K45" i="13"/>
  <c r="K115" i="13"/>
  <c r="K62" i="13"/>
  <c r="K68" i="30"/>
  <c r="K113" i="30"/>
  <c r="K46" i="30"/>
  <c r="K114" i="30"/>
  <c r="K195" i="30"/>
  <c r="K228" i="30"/>
  <c r="K42" i="30"/>
  <c r="K120" i="30"/>
  <c r="K248" i="30"/>
  <c r="K200" i="30"/>
  <c r="K88" i="30"/>
  <c r="K201" i="30"/>
  <c r="K81" i="30"/>
  <c r="K175" i="30"/>
  <c r="K127" i="30"/>
  <c r="K79" i="30"/>
  <c r="K89" i="30"/>
  <c r="K158" i="30"/>
  <c r="K122" i="30"/>
  <c r="K78" i="30"/>
  <c r="K85" i="30"/>
  <c r="K105" i="13"/>
  <c r="K144" i="13"/>
  <c r="K122" i="13"/>
  <c r="K82" i="13"/>
  <c r="K72" i="13"/>
  <c r="K40" i="30"/>
  <c r="K34" i="30"/>
  <c r="K38" i="13"/>
  <c r="K40" i="13"/>
  <c r="K55" i="30"/>
  <c r="K59" i="30"/>
  <c r="K48" i="13"/>
  <c r="K190" i="30"/>
  <c r="K110" i="30"/>
  <c r="K197" i="30"/>
  <c r="K230" i="30"/>
  <c r="K227" i="30"/>
  <c r="K236" i="30"/>
  <c r="K180" i="30"/>
  <c r="K132" i="30"/>
  <c r="K84" i="30"/>
  <c r="K173" i="30"/>
  <c r="K259" i="30"/>
  <c r="K171" i="30"/>
  <c r="K123" i="30"/>
  <c r="K249" i="30"/>
  <c r="K258" i="30"/>
  <c r="K206" i="30"/>
  <c r="K154" i="30"/>
  <c r="K106" i="30"/>
  <c r="K257" i="30"/>
  <c r="K155" i="13"/>
  <c r="K97" i="13"/>
  <c r="K154" i="13"/>
  <c r="K118" i="13"/>
  <c r="K78" i="13"/>
  <c r="F48" i="14"/>
  <c r="K37" i="30"/>
  <c r="K39" i="13"/>
  <c r="K47" i="30"/>
  <c r="K71" i="30"/>
  <c r="E49" i="14"/>
  <c r="O68" i="13" s="1"/>
  <c r="E51" i="14"/>
  <c r="Q77" i="30" s="1"/>
  <c r="E48" i="14"/>
  <c r="E50" i="14"/>
  <c r="Q65" i="13" s="1"/>
  <c r="K151" i="13"/>
  <c r="K159" i="30"/>
  <c r="F14" i="9"/>
  <c r="G14" i="9" s="1"/>
  <c r="D30" i="17"/>
  <c r="E6" i="32" s="1"/>
  <c r="I230" i="30"/>
  <c r="I228" i="30"/>
  <c r="I58" i="30"/>
  <c r="I41" i="30"/>
  <c r="I52" i="30"/>
  <c r="I36" i="13"/>
  <c r="I156" i="13"/>
  <c r="I101" i="13"/>
  <c r="I157" i="13"/>
  <c r="I144" i="13"/>
  <c r="I134" i="13"/>
  <c r="I108" i="13"/>
  <c r="I83" i="13"/>
  <c r="I123" i="13"/>
  <c r="I159" i="13"/>
  <c r="I182" i="30"/>
  <c r="I234" i="30"/>
  <c r="I145" i="30"/>
  <c r="I83" i="30"/>
  <c r="I131" i="30"/>
  <c r="I179" i="30"/>
  <c r="I223" i="30"/>
  <c r="I253" i="30"/>
  <c r="I104" i="30"/>
  <c r="I172" i="30"/>
  <c r="I248" i="30"/>
  <c r="D49" i="14"/>
  <c r="I150" i="30"/>
  <c r="I147" i="30"/>
  <c r="I59" i="30"/>
  <c r="I41" i="13"/>
  <c r="I44" i="30"/>
  <c r="I39" i="13"/>
  <c r="I37" i="13"/>
  <c r="I73" i="13"/>
  <c r="I105" i="13"/>
  <c r="I48" i="13"/>
  <c r="I46" i="13"/>
  <c r="I98" i="13"/>
  <c r="I142" i="13"/>
  <c r="I120" i="13"/>
  <c r="I81" i="30"/>
  <c r="I237" i="30"/>
  <c r="I142" i="30"/>
  <c r="I198" i="30"/>
  <c r="I250" i="30"/>
  <c r="I157" i="30"/>
  <c r="I87" i="30"/>
  <c r="I183" i="30"/>
  <c r="I231" i="30"/>
  <c r="I129" i="30"/>
  <c r="I36" i="30"/>
  <c r="I124" i="30"/>
  <c r="I176" i="30"/>
  <c r="D31" i="14"/>
  <c r="C13" i="30"/>
  <c r="I148" i="30"/>
  <c r="I229" i="30"/>
  <c r="I56" i="30"/>
  <c r="E7" i="32"/>
  <c r="I40" i="30"/>
  <c r="I45" i="30"/>
  <c r="I33" i="30"/>
  <c r="I77" i="13"/>
  <c r="I121" i="13"/>
  <c r="I76" i="13"/>
  <c r="I70" i="13"/>
  <c r="I102" i="13"/>
  <c r="I146" i="13"/>
  <c r="I131" i="13"/>
  <c r="I257" i="30"/>
  <c r="I102" i="30"/>
  <c r="I146" i="30"/>
  <c r="I202" i="30"/>
  <c r="I254" i="30"/>
  <c r="I173" i="30"/>
  <c r="I91" i="30"/>
  <c r="I199" i="30"/>
  <c r="I235" i="30"/>
  <c r="I80" i="30"/>
  <c r="I128" i="30"/>
  <c r="I180" i="30"/>
  <c r="I52" i="13"/>
  <c r="F29" i="17"/>
  <c r="I38" i="30"/>
  <c r="I47" i="30"/>
  <c r="I34" i="30"/>
  <c r="I42" i="13"/>
  <c r="I81" i="13"/>
  <c r="I74" i="13"/>
  <c r="I106" i="13"/>
  <c r="I154" i="13"/>
  <c r="I152" i="13"/>
  <c r="I135" i="13"/>
  <c r="I101" i="30"/>
  <c r="I50" i="30"/>
  <c r="I106" i="30"/>
  <c r="I154" i="30"/>
  <c r="I206" i="30"/>
  <c r="I258" i="30"/>
  <c r="I209" i="30"/>
  <c r="I143" i="30"/>
  <c r="I203" i="30"/>
  <c r="I247" i="30"/>
  <c r="I177" i="30"/>
  <c r="I84" i="30"/>
  <c r="I132" i="30"/>
  <c r="I200" i="30"/>
  <c r="I137" i="13"/>
  <c r="I227" i="30"/>
  <c r="I226" i="30"/>
  <c r="I54" i="30"/>
  <c r="I39" i="30"/>
  <c r="I49" i="30"/>
  <c r="I37" i="30"/>
  <c r="I72" i="13"/>
  <c r="I78" i="13"/>
  <c r="I118" i="13"/>
  <c r="I158" i="13"/>
  <c r="I47" i="13"/>
  <c r="I99" i="13"/>
  <c r="I143" i="13"/>
  <c r="I125" i="30"/>
  <c r="I78" i="30"/>
  <c r="I122" i="30"/>
  <c r="I158" i="30"/>
  <c r="I89" i="30"/>
  <c r="I249" i="30"/>
  <c r="I155" i="30"/>
  <c r="I207" i="30"/>
  <c r="I251" i="30"/>
  <c r="I201" i="30"/>
  <c r="I88" i="30"/>
  <c r="G47" i="14"/>
  <c r="I141" i="13"/>
  <c r="I153" i="30"/>
  <c r="I152" i="30"/>
  <c r="I51" i="13"/>
  <c r="I57" i="30"/>
  <c r="I43" i="30"/>
  <c r="I43" i="13"/>
  <c r="I35" i="13"/>
  <c r="I133" i="13"/>
  <c r="I104" i="13"/>
  <c r="I82" i="13"/>
  <c r="I122" i="13"/>
  <c r="I44" i="13"/>
  <c r="I71" i="13"/>
  <c r="I103" i="13"/>
  <c r="I147" i="13"/>
  <c r="I82" i="30"/>
  <c r="I126" i="30"/>
  <c r="I170" i="30"/>
  <c r="I105" i="30"/>
  <c r="I35" i="30"/>
  <c r="I103" i="30"/>
  <c r="I159" i="30"/>
  <c r="I255" i="30"/>
  <c r="I220" i="30"/>
  <c r="D12" i="17"/>
  <c r="B47" i="14" s="1"/>
  <c r="D29" i="17"/>
  <c r="D6" i="32" s="1"/>
  <c r="C17" i="14"/>
  <c r="D5" i="32"/>
  <c r="D17" i="14"/>
  <c r="Q152" i="13"/>
  <c r="Q97" i="13"/>
  <c r="Q98" i="13"/>
  <c r="Q142" i="13"/>
  <c r="Q131" i="13"/>
  <c r="Q36" i="13"/>
  <c r="Q100" i="13"/>
  <c r="Q101" i="13"/>
  <c r="Q157" i="13"/>
  <c r="Q70" i="13"/>
  <c r="Q102" i="13"/>
  <c r="Q146" i="13"/>
  <c r="Q156" i="13"/>
  <c r="Q105" i="13"/>
  <c r="Q135" i="13"/>
  <c r="Q159" i="13"/>
  <c r="Q44" i="13"/>
  <c r="Q108" i="13"/>
  <c r="Q45" i="13"/>
  <c r="Q74" i="13"/>
  <c r="Q106" i="13"/>
  <c r="Q80" i="13"/>
  <c r="Q37" i="13"/>
  <c r="Q121" i="13"/>
  <c r="Q99" i="13"/>
  <c r="Q143" i="13"/>
  <c r="Q52" i="13"/>
  <c r="Q38" i="13"/>
  <c r="Q78" i="13"/>
  <c r="Q118" i="13"/>
  <c r="Q154" i="13"/>
  <c r="Q49" i="13"/>
  <c r="Q35" i="13"/>
  <c r="Q71" i="13"/>
  <c r="Q103" i="13"/>
  <c r="Q147" i="13"/>
  <c r="E10" i="32"/>
  <c r="E47" i="14"/>
  <c r="I204" i="30"/>
  <c r="I252" i="30"/>
  <c r="I48" i="30"/>
  <c r="F14" i="29"/>
  <c r="I144" i="30"/>
  <c r="I208" i="30"/>
  <c r="I256" i="30"/>
  <c r="C47" i="14"/>
  <c r="D10" i="32"/>
  <c r="Q139" i="30" l="1"/>
  <c r="Q75" i="30"/>
  <c r="Q65" i="30"/>
  <c r="Q140" i="30"/>
  <c r="Q94" i="30"/>
  <c r="Q135" i="30"/>
  <c r="Q76" i="30"/>
  <c r="Q72" i="30"/>
  <c r="Q141" i="30"/>
  <c r="Q165" i="30"/>
  <c r="Q166" i="30"/>
  <c r="Q240" i="30"/>
  <c r="Q73" i="30"/>
  <c r="Q137" i="30"/>
  <c r="Q66" i="30"/>
  <c r="Q211" i="30"/>
  <c r="Q212" i="30"/>
  <c r="Q238" i="30"/>
  <c r="Q63" i="30"/>
  <c r="Q215" i="30"/>
  <c r="Q74" i="30"/>
  <c r="Q138" i="30"/>
  <c r="Q61" i="30"/>
  <c r="Q136" i="30"/>
  <c r="Q92" i="30"/>
  <c r="Q246" i="30"/>
  <c r="Q95" i="30"/>
  <c r="Q217" i="30"/>
  <c r="Q96" i="30"/>
  <c r="Q210" i="30"/>
  <c r="Q99" i="30"/>
  <c r="Q163" i="30"/>
  <c r="Q164" i="30"/>
  <c r="Q168" i="30"/>
  <c r="Q62" i="30"/>
  <c r="Q167" i="30"/>
  <c r="Q64" i="30"/>
  <c r="Q97" i="30"/>
  <c r="Q161" i="30"/>
  <c r="Q218" i="30"/>
  <c r="O75" i="30"/>
  <c r="Q134" i="30"/>
  <c r="Q239" i="30"/>
  <c r="Q133" i="30"/>
  <c r="Q169" i="30"/>
  <c r="Q98" i="30"/>
  <c r="Q162" i="30"/>
  <c r="Q243" i="30"/>
  <c r="Q244" i="30"/>
  <c r="Q216" i="30"/>
  <c r="Q213" i="30"/>
  <c r="Q241" i="30"/>
  <c r="Q245" i="30"/>
  <c r="M168" i="30"/>
  <c r="M240" i="30"/>
  <c r="O134" i="30"/>
  <c r="O167" i="30"/>
  <c r="O245" i="30"/>
  <c r="O168" i="30"/>
  <c r="O212" i="30"/>
  <c r="M133" i="30"/>
  <c r="O239" i="30"/>
  <c r="O240" i="30"/>
  <c r="O73" i="30"/>
  <c r="O137" i="30"/>
  <c r="O242" i="30"/>
  <c r="O92" i="30"/>
  <c r="M141" i="30"/>
  <c r="O93" i="30"/>
  <c r="O139" i="30"/>
  <c r="O164" i="30"/>
  <c r="M77" i="30"/>
  <c r="M166" i="30"/>
  <c r="M238" i="30"/>
  <c r="M139" i="30"/>
  <c r="O94" i="30"/>
  <c r="O63" i="30"/>
  <c r="O64" i="30"/>
  <c r="O217" i="30"/>
  <c r="O66" i="30"/>
  <c r="O211" i="30"/>
  <c r="O77" i="30"/>
  <c r="M242" i="30"/>
  <c r="M75" i="30"/>
  <c r="O166" i="30"/>
  <c r="O135" i="30"/>
  <c r="O72" i="30"/>
  <c r="O136" i="30"/>
  <c r="O61" i="30"/>
  <c r="O97" i="30"/>
  <c r="O161" i="30"/>
  <c r="O74" i="30"/>
  <c r="O138" i="30"/>
  <c r="O65" i="30"/>
  <c r="O244" i="30"/>
  <c r="O214" i="30"/>
  <c r="M140" i="30"/>
  <c r="M212" i="30"/>
  <c r="O133" i="30"/>
  <c r="O238" i="30"/>
  <c r="O169" i="30"/>
  <c r="O210" i="30"/>
  <c r="O99" i="30"/>
  <c r="O163" i="30"/>
  <c r="O141" i="30"/>
  <c r="O60" i="30"/>
  <c r="O213" i="30"/>
  <c r="M161" i="30"/>
  <c r="M76" i="30"/>
  <c r="O165" i="30"/>
  <c r="O246" i="30"/>
  <c r="O215" i="30"/>
  <c r="O216" i="30"/>
  <c r="O241" i="30"/>
  <c r="O218" i="30"/>
  <c r="M97" i="30"/>
  <c r="O62" i="30"/>
  <c r="O95" i="30"/>
  <c r="O96" i="30"/>
  <c r="O98" i="30"/>
  <c r="O162" i="30"/>
  <c r="O76" i="30"/>
  <c r="O140" i="30"/>
  <c r="O32" i="30"/>
  <c r="M213" i="30"/>
  <c r="M246" i="30"/>
  <c r="M215" i="30"/>
  <c r="M241" i="30"/>
  <c r="M66" i="30"/>
  <c r="M211" i="30"/>
  <c r="M92" i="30"/>
  <c r="M93" i="30"/>
  <c r="M62" i="30"/>
  <c r="M95" i="30"/>
  <c r="M64" i="30"/>
  <c r="M74" i="30"/>
  <c r="M138" i="30"/>
  <c r="M65" i="30"/>
  <c r="M164" i="30"/>
  <c r="M165" i="30"/>
  <c r="M134" i="30"/>
  <c r="M167" i="30"/>
  <c r="M72" i="30"/>
  <c r="M136" i="30"/>
  <c r="M210" i="30"/>
  <c r="M99" i="30"/>
  <c r="M163" i="30"/>
  <c r="M239" i="30"/>
  <c r="M137" i="30"/>
  <c r="M73" i="30"/>
  <c r="M218" i="30"/>
  <c r="M244" i="30"/>
  <c r="M245" i="30"/>
  <c r="M214" i="30"/>
  <c r="M216" i="30"/>
  <c r="M98" i="30"/>
  <c r="M162" i="30"/>
  <c r="M243" i="30"/>
  <c r="M60" i="30"/>
  <c r="M61" i="30"/>
  <c r="M94" i="30"/>
  <c r="M63" i="30"/>
  <c r="M96" i="30"/>
  <c r="M217" i="30"/>
  <c r="M32" i="30"/>
  <c r="R159" i="13"/>
  <c r="R151" i="13"/>
  <c r="R143" i="13"/>
  <c r="R135" i="13"/>
  <c r="R119" i="13"/>
  <c r="R111" i="13"/>
  <c r="R103" i="13"/>
  <c r="R79" i="13"/>
  <c r="R71" i="13"/>
  <c r="R63" i="13"/>
  <c r="R47" i="13"/>
  <c r="R39" i="13"/>
  <c r="R112" i="13"/>
  <c r="R48" i="13"/>
  <c r="R158" i="13"/>
  <c r="R142" i="13"/>
  <c r="R134" i="13"/>
  <c r="R126" i="13"/>
  <c r="R118" i="13"/>
  <c r="R110" i="13"/>
  <c r="R102" i="13"/>
  <c r="R78" i="13"/>
  <c r="R70" i="13"/>
  <c r="R62" i="13"/>
  <c r="R46" i="13"/>
  <c r="R38" i="13"/>
  <c r="R136" i="13"/>
  <c r="R64" i="13"/>
  <c r="R157" i="13"/>
  <c r="R141" i="13"/>
  <c r="R133" i="13"/>
  <c r="R117" i="13"/>
  <c r="R109" i="13"/>
  <c r="R101" i="13"/>
  <c r="R77" i="13"/>
  <c r="R61" i="13"/>
  <c r="R45" i="13"/>
  <c r="R37" i="13"/>
  <c r="R104" i="13"/>
  <c r="R156" i="13"/>
  <c r="R140" i="13"/>
  <c r="R132" i="13"/>
  <c r="R116" i="13"/>
  <c r="R108" i="13"/>
  <c r="R100" i="13"/>
  <c r="R76" i="13"/>
  <c r="R52" i="13"/>
  <c r="R44" i="13"/>
  <c r="R36" i="13"/>
  <c r="R80" i="13"/>
  <c r="R155" i="13"/>
  <c r="R147" i="13"/>
  <c r="R139" i="13"/>
  <c r="R131" i="13"/>
  <c r="R123" i="13"/>
  <c r="R115" i="13"/>
  <c r="R107" i="13"/>
  <c r="R99" i="13"/>
  <c r="R83" i="13"/>
  <c r="R75" i="13"/>
  <c r="R51" i="13"/>
  <c r="R43" i="13"/>
  <c r="R35" i="13"/>
  <c r="R120" i="13"/>
  <c r="R72" i="13"/>
  <c r="R154" i="13"/>
  <c r="R146" i="13"/>
  <c r="R138" i="13"/>
  <c r="R122" i="13"/>
  <c r="R114" i="13"/>
  <c r="R106" i="13"/>
  <c r="R98" i="13"/>
  <c r="R82" i="13"/>
  <c r="R74" i="13"/>
  <c r="R58" i="13"/>
  <c r="R50" i="13"/>
  <c r="R42" i="13"/>
  <c r="R34" i="13"/>
  <c r="R152" i="13"/>
  <c r="R153" i="13"/>
  <c r="R145" i="13"/>
  <c r="R137" i="13"/>
  <c r="R121" i="13"/>
  <c r="R113" i="13"/>
  <c r="R105" i="13"/>
  <c r="R97" i="13"/>
  <c r="R81" i="13"/>
  <c r="R73" i="13"/>
  <c r="R65" i="13"/>
  <c r="R49" i="13"/>
  <c r="R41" i="13"/>
  <c r="R144" i="13"/>
  <c r="R96" i="13"/>
  <c r="R40" i="13"/>
  <c r="P159" i="13"/>
  <c r="P151" i="13"/>
  <c r="P143" i="13"/>
  <c r="P135" i="13"/>
  <c r="P119" i="13"/>
  <c r="P111" i="13"/>
  <c r="P103" i="13"/>
  <c r="P79" i="13"/>
  <c r="P71" i="13"/>
  <c r="P63" i="13"/>
  <c r="P47" i="13"/>
  <c r="P39" i="13"/>
  <c r="P136" i="13"/>
  <c r="P80" i="13"/>
  <c r="P158" i="13"/>
  <c r="P142" i="13"/>
  <c r="P134" i="13"/>
  <c r="P118" i="13"/>
  <c r="P110" i="13"/>
  <c r="P102" i="13"/>
  <c r="P78" i="13"/>
  <c r="P70" i="13"/>
  <c r="P62" i="13"/>
  <c r="P46" i="13"/>
  <c r="P38" i="13"/>
  <c r="P120" i="13"/>
  <c r="P64" i="13"/>
  <c r="P157" i="13"/>
  <c r="P141" i="13"/>
  <c r="P133" i="13"/>
  <c r="P117" i="13"/>
  <c r="P109" i="13"/>
  <c r="P101" i="13"/>
  <c r="P77" i="13"/>
  <c r="P61" i="13"/>
  <c r="P45" i="13"/>
  <c r="P37" i="13"/>
  <c r="P152" i="13"/>
  <c r="P156" i="13"/>
  <c r="P140" i="13"/>
  <c r="P132" i="13"/>
  <c r="P116" i="13"/>
  <c r="P108" i="13"/>
  <c r="P100" i="13"/>
  <c r="P76" i="13"/>
  <c r="P68" i="13"/>
  <c r="P52" i="13"/>
  <c r="P44" i="13"/>
  <c r="P36" i="13"/>
  <c r="P112" i="13"/>
  <c r="P155" i="13"/>
  <c r="P147" i="13"/>
  <c r="P139" i="13"/>
  <c r="P131" i="13"/>
  <c r="P123" i="13"/>
  <c r="P115" i="13"/>
  <c r="P107" i="13"/>
  <c r="P99" i="13"/>
  <c r="P83" i="13"/>
  <c r="P75" i="13"/>
  <c r="P51" i="13"/>
  <c r="P43" i="13"/>
  <c r="P35" i="13"/>
  <c r="P144" i="13"/>
  <c r="P96" i="13"/>
  <c r="P40" i="13"/>
  <c r="P154" i="13"/>
  <c r="P146" i="13"/>
  <c r="P138" i="13"/>
  <c r="P122" i="13"/>
  <c r="P114" i="13"/>
  <c r="P106" i="13"/>
  <c r="P98" i="13"/>
  <c r="P82" i="13"/>
  <c r="P74" i="13"/>
  <c r="P50" i="13"/>
  <c r="P42" i="13"/>
  <c r="P34" i="13"/>
  <c r="P72" i="13"/>
  <c r="P153" i="13"/>
  <c r="P145" i="13"/>
  <c r="P137" i="13"/>
  <c r="P121" i="13"/>
  <c r="P113" i="13"/>
  <c r="P105" i="13"/>
  <c r="P97" i="13"/>
  <c r="P81" i="13"/>
  <c r="P73" i="13"/>
  <c r="P49" i="13"/>
  <c r="P41" i="13"/>
  <c r="P104" i="13"/>
  <c r="P48" i="13"/>
  <c r="N159" i="13"/>
  <c r="N151" i="13"/>
  <c r="N143" i="13"/>
  <c r="N119" i="13"/>
  <c r="N111" i="13"/>
  <c r="N103" i="13"/>
  <c r="N79" i="13"/>
  <c r="N71" i="13"/>
  <c r="N63" i="13"/>
  <c r="N47" i="13"/>
  <c r="N39" i="13"/>
  <c r="N36" i="13"/>
  <c r="N158" i="13"/>
  <c r="N142" i="13"/>
  <c r="N118" i="13"/>
  <c r="N110" i="13"/>
  <c r="N102" i="13"/>
  <c r="N78" i="13"/>
  <c r="N70" i="13"/>
  <c r="N62" i="13"/>
  <c r="N46" i="13"/>
  <c r="N38" i="13"/>
  <c r="N157" i="13"/>
  <c r="N141" i="13"/>
  <c r="N117" i="13"/>
  <c r="N109" i="13"/>
  <c r="N101" i="13"/>
  <c r="N77" i="13"/>
  <c r="N61" i="13"/>
  <c r="N45" i="13"/>
  <c r="N37" i="13"/>
  <c r="N156" i="13"/>
  <c r="N140" i="13"/>
  <c r="N116" i="13"/>
  <c r="N108" i="13"/>
  <c r="N100" i="13"/>
  <c r="N76" i="13"/>
  <c r="N52" i="13"/>
  <c r="N44" i="13"/>
  <c r="N155" i="13"/>
  <c r="N147" i="13"/>
  <c r="N139" i="13"/>
  <c r="N123" i="13"/>
  <c r="N115" i="13"/>
  <c r="N107" i="13"/>
  <c r="N99" i="13"/>
  <c r="N83" i="13"/>
  <c r="N75" i="13"/>
  <c r="N51" i="13"/>
  <c r="N43" i="13"/>
  <c r="N35" i="13"/>
  <c r="N154" i="13"/>
  <c r="N146" i="13"/>
  <c r="N138" i="13"/>
  <c r="N122" i="13"/>
  <c r="N114" i="13"/>
  <c r="N106" i="13"/>
  <c r="N98" i="13"/>
  <c r="N82" i="13"/>
  <c r="N74" i="13"/>
  <c r="N50" i="13"/>
  <c r="N42" i="13"/>
  <c r="N153" i="13"/>
  <c r="N145" i="13"/>
  <c r="N137" i="13"/>
  <c r="N121" i="13"/>
  <c r="N113" i="13"/>
  <c r="N105" i="13"/>
  <c r="N97" i="13"/>
  <c r="N81" i="13"/>
  <c r="N73" i="13"/>
  <c r="N49" i="13"/>
  <c r="N41" i="13"/>
  <c r="N152" i="13"/>
  <c r="N144" i="13"/>
  <c r="N120" i="13"/>
  <c r="N112" i="13"/>
  <c r="N104" i="13"/>
  <c r="N80" i="13"/>
  <c r="N72" i="13"/>
  <c r="N64" i="13"/>
  <c r="N48" i="13"/>
  <c r="N40" i="13"/>
  <c r="L159" i="13"/>
  <c r="L151" i="13"/>
  <c r="L143" i="13"/>
  <c r="L119" i="13"/>
  <c r="L111" i="13"/>
  <c r="L103" i="13"/>
  <c r="L79" i="13"/>
  <c r="L71" i="13"/>
  <c r="L63" i="13"/>
  <c r="L47" i="13"/>
  <c r="L39" i="13"/>
  <c r="L80" i="13"/>
  <c r="L158" i="13"/>
  <c r="L142" i="13"/>
  <c r="L118" i="13"/>
  <c r="L110" i="13"/>
  <c r="L102" i="13"/>
  <c r="L78" i="13"/>
  <c r="L70" i="13"/>
  <c r="L62" i="13"/>
  <c r="L46" i="13"/>
  <c r="L38" i="13"/>
  <c r="L34" i="13"/>
  <c r="L40" i="13"/>
  <c r="L157" i="13"/>
  <c r="L141" i="13"/>
  <c r="L117" i="13"/>
  <c r="L109" i="13"/>
  <c r="L101" i="13"/>
  <c r="L77" i="13"/>
  <c r="L61" i="13"/>
  <c r="L45" i="13"/>
  <c r="L37" i="13"/>
  <c r="L74" i="13"/>
  <c r="L144" i="13"/>
  <c r="L156" i="13"/>
  <c r="L140" i="13"/>
  <c r="L116" i="13"/>
  <c r="L108" i="13"/>
  <c r="L100" i="13"/>
  <c r="L76" i="13"/>
  <c r="L52" i="13"/>
  <c r="L44" i="13"/>
  <c r="L36" i="13"/>
  <c r="L82" i="13"/>
  <c r="L72" i="13"/>
  <c r="L155" i="13"/>
  <c r="L147" i="13"/>
  <c r="L139" i="13"/>
  <c r="L123" i="13"/>
  <c r="L115" i="13"/>
  <c r="L107" i="13"/>
  <c r="L99" i="13"/>
  <c r="L83" i="13"/>
  <c r="L75" i="13"/>
  <c r="L51" i="13"/>
  <c r="L43" i="13"/>
  <c r="L35" i="13"/>
  <c r="L42" i="13"/>
  <c r="L120" i="13"/>
  <c r="L64" i="13"/>
  <c r="L154" i="13"/>
  <c r="L146" i="13"/>
  <c r="L138" i="13"/>
  <c r="L122" i="13"/>
  <c r="L114" i="13"/>
  <c r="L106" i="13"/>
  <c r="L98" i="13"/>
  <c r="L50" i="13"/>
  <c r="L112" i="13"/>
  <c r="L48" i="13"/>
  <c r="L153" i="13"/>
  <c r="L145" i="13"/>
  <c r="L137" i="13"/>
  <c r="L121" i="13"/>
  <c r="L113" i="13"/>
  <c r="L105" i="13"/>
  <c r="L97" i="13"/>
  <c r="L81" i="13"/>
  <c r="L73" i="13"/>
  <c r="L49" i="13"/>
  <c r="L41" i="13"/>
  <c r="L152" i="13"/>
  <c r="L104" i="13"/>
  <c r="J159" i="13"/>
  <c r="J151" i="13"/>
  <c r="J143" i="13"/>
  <c r="J135" i="13"/>
  <c r="J119" i="13"/>
  <c r="J111" i="13"/>
  <c r="J103" i="13"/>
  <c r="J79" i="13"/>
  <c r="J71" i="13"/>
  <c r="J63" i="13"/>
  <c r="J47" i="13"/>
  <c r="J39" i="13"/>
  <c r="J152" i="13"/>
  <c r="J158" i="13"/>
  <c r="J142" i="13"/>
  <c r="J134" i="13"/>
  <c r="J118" i="13"/>
  <c r="J110" i="13"/>
  <c r="J102" i="13"/>
  <c r="J78" i="13"/>
  <c r="J70" i="13"/>
  <c r="J62" i="13"/>
  <c r="J46" i="13"/>
  <c r="J38" i="13"/>
  <c r="J144" i="13"/>
  <c r="J157" i="13"/>
  <c r="J141" i="13"/>
  <c r="J133" i="13"/>
  <c r="J117" i="13"/>
  <c r="J109" i="13"/>
  <c r="J101" i="13"/>
  <c r="J77" i="13"/>
  <c r="J61" i="13"/>
  <c r="J45" i="13"/>
  <c r="J37" i="13"/>
  <c r="J64" i="13"/>
  <c r="J156" i="13"/>
  <c r="J140" i="13"/>
  <c r="J116" i="13"/>
  <c r="J108" i="13"/>
  <c r="J100" i="13"/>
  <c r="J76" i="13"/>
  <c r="J52" i="13"/>
  <c r="J44" i="13"/>
  <c r="J36" i="13"/>
  <c r="J72" i="13"/>
  <c r="J155" i="13"/>
  <c r="J147" i="13"/>
  <c r="J139" i="13"/>
  <c r="J131" i="13"/>
  <c r="J123" i="13"/>
  <c r="J115" i="13"/>
  <c r="J107" i="13"/>
  <c r="J99" i="13"/>
  <c r="J83" i="13"/>
  <c r="J75" i="13"/>
  <c r="J51" i="13"/>
  <c r="J43" i="13"/>
  <c r="J35" i="13"/>
  <c r="J112" i="13"/>
  <c r="J80" i="13"/>
  <c r="J154" i="13"/>
  <c r="J146" i="13"/>
  <c r="J138" i="13"/>
  <c r="J122" i="13"/>
  <c r="J114" i="13"/>
  <c r="J106" i="13"/>
  <c r="J98" i="13"/>
  <c r="J82" i="13"/>
  <c r="J74" i="13"/>
  <c r="J50" i="13"/>
  <c r="J42" i="13"/>
  <c r="J120" i="13"/>
  <c r="J48" i="13"/>
  <c r="J153" i="13"/>
  <c r="J145" i="13"/>
  <c r="J137" i="13"/>
  <c r="J121" i="13"/>
  <c r="J113" i="13"/>
  <c r="J105" i="13"/>
  <c r="J97" i="13"/>
  <c r="J81" i="13"/>
  <c r="J73" i="13"/>
  <c r="J49" i="13"/>
  <c r="J41" i="13"/>
  <c r="J104" i="13"/>
  <c r="J40" i="13"/>
  <c r="I94" i="30"/>
  <c r="I73" i="30"/>
  <c r="I219" i="30"/>
  <c r="I33" i="13"/>
  <c r="J33" i="13" s="1"/>
  <c r="K98" i="30"/>
  <c r="K77" i="30"/>
  <c r="K142" i="30"/>
  <c r="O30" i="17"/>
  <c r="P30" i="17" s="1"/>
  <c r="H31" i="30" s="1"/>
  <c r="O29" i="17"/>
  <c r="P29" i="17" s="1"/>
  <c r="K244" i="30"/>
  <c r="B49" i="14"/>
  <c r="C16" i="13"/>
  <c r="M30" i="30"/>
  <c r="B50" i="14"/>
  <c r="C17" i="13"/>
  <c r="O30" i="30"/>
  <c r="M8" i="32"/>
  <c r="B3" i="30"/>
  <c r="K218" i="30"/>
  <c r="K63" i="30"/>
  <c r="Q88" i="13"/>
  <c r="R88" i="13" s="1"/>
  <c r="Q93" i="13"/>
  <c r="R93" i="13" s="1"/>
  <c r="Q91" i="13"/>
  <c r="R91" i="13" s="1"/>
  <c r="Q95" i="13"/>
  <c r="R95" i="13" s="1"/>
  <c r="Q124" i="13"/>
  <c r="R124" i="13" s="1"/>
  <c r="Q92" i="13"/>
  <c r="R92" i="13" s="1"/>
  <c r="Q125" i="13"/>
  <c r="R125" i="13" s="1"/>
  <c r="Q129" i="13"/>
  <c r="R129" i="13" s="1"/>
  <c r="O129" i="13"/>
  <c r="P129" i="13" s="1"/>
  <c r="O128" i="13"/>
  <c r="P128" i="13" s="1"/>
  <c r="O127" i="13"/>
  <c r="P127" i="13" s="1"/>
  <c r="O126" i="13"/>
  <c r="P126" i="13" s="1"/>
  <c r="O124" i="13"/>
  <c r="P124" i="13" s="1"/>
  <c r="O125" i="13"/>
  <c r="P125" i="13" s="1"/>
  <c r="O130" i="13"/>
  <c r="P130" i="13" s="1"/>
  <c r="Q85" i="13"/>
  <c r="R85" i="13" s="1"/>
  <c r="Q55" i="13"/>
  <c r="R55" i="13" s="1"/>
  <c r="Q59" i="13"/>
  <c r="R59" i="13" s="1"/>
  <c r="Q53" i="13"/>
  <c r="R53" i="13" s="1"/>
  <c r="Q56" i="13"/>
  <c r="R56" i="13" s="1"/>
  <c r="I61" i="30"/>
  <c r="I55" i="13"/>
  <c r="J55" i="13" s="1"/>
  <c r="I59" i="13"/>
  <c r="J59" i="13" s="1"/>
  <c r="I60" i="30"/>
  <c r="I54" i="13"/>
  <c r="J54" i="13" s="1"/>
  <c r="I64" i="30"/>
  <c r="I58" i="13"/>
  <c r="J58" i="13" s="1"/>
  <c r="I56" i="13"/>
  <c r="J56" i="13" s="1"/>
  <c r="I65" i="30"/>
  <c r="I57" i="13"/>
  <c r="J57" i="13" s="1"/>
  <c r="I60" i="13"/>
  <c r="J60" i="13" s="1"/>
  <c r="Q67" i="13"/>
  <c r="R67" i="13" s="1"/>
  <c r="Q54" i="13"/>
  <c r="R54" i="13" s="1"/>
  <c r="Q68" i="13"/>
  <c r="R68" i="13" s="1"/>
  <c r="Q66" i="13"/>
  <c r="R66" i="13" s="1"/>
  <c r="Q60" i="13"/>
  <c r="R60" i="13" s="1"/>
  <c r="Q33" i="13"/>
  <c r="R33" i="13" s="1"/>
  <c r="Q69" i="13"/>
  <c r="R69" i="13" s="1"/>
  <c r="Q84" i="13"/>
  <c r="R84" i="13" s="1"/>
  <c r="Q90" i="13"/>
  <c r="R90" i="13" s="1"/>
  <c r="Q89" i="13"/>
  <c r="R89" i="13" s="1"/>
  <c r="Q127" i="13"/>
  <c r="R127" i="13" s="1"/>
  <c r="Q130" i="13"/>
  <c r="R130" i="13" s="1"/>
  <c r="Q86" i="13"/>
  <c r="R86" i="13" s="1"/>
  <c r="Q32" i="13"/>
  <c r="R32" i="13" s="1"/>
  <c r="Q149" i="13"/>
  <c r="R149" i="13" s="1"/>
  <c r="Q150" i="13"/>
  <c r="R150" i="13" s="1"/>
  <c r="Q148" i="13"/>
  <c r="R148" i="13" s="1"/>
  <c r="Q87" i="13"/>
  <c r="R87" i="13" s="1"/>
  <c r="Q128" i="13"/>
  <c r="R128" i="13" s="1"/>
  <c r="Q57" i="13"/>
  <c r="R57" i="13" s="1"/>
  <c r="Q94" i="13"/>
  <c r="R94" i="13" s="1"/>
  <c r="D7" i="32"/>
  <c r="O92" i="13"/>
  <c r="P92" i="13" s="1"/>
  <c r="O87" i="13"/>
  <c r="P87" i="13" s="1"/>
  <c r="O67" i="13"/>
  <c r="P67" i="13" s="1"/>
  <c r="O94" i="13"/>
  <c r="P94" i="13" s="1"/>
  <c r="O89" i="13"/>
  <c r="P89" i="13" s="1"/>
  <c r="O33" i="13"/>
  <c r="P33" i="13" s="1"/>
  <c r="O69" i="13"/>
  <c r="P69" i="13" s="1"/>
  <c r="O58" i="13"/>
  <c r="P58" i="13" s="1"/>
  <c r="O53" i="13"/>
  <c r="P53" i="13" s="1"/>
  <c r="O60" i="13"/>
  <c r="P60" i="13" s="1"/>
  <c r="O86" i="13"/>
  <c r="P86" i="13" s="1"/>
  <c r="O95" i="13"/>
  <c r="P95" i="13" s="1"/>
  <c r="O65" i="13"/>
  <c r="P65" i="13" s="1"/>
  <c r="O88" i="13"/>
  <c r="P88" i="13" s="1"/>
  <c r="O56" i="13"/>
  <c r="P56" i="13" s="1"/>
  <c r="O59" i="13"/>
  <c r="P59" i="13" s="1"/>
  <c r="O91" i="13"/>
  <c r="P91" i="13" s="1"/>
  <c r="O84" i="13"/>
  <c r="P84" i="13" s="1"/>
  <c r="O85" i="13"/>
  <c r="P85" i="13" s="1"/>
  <c r="O55" i="13"/>
  <c r="P55" i="13" s="1"/>
  <c r="O93" i="13"/>
  <c r="P93" i="13" s="1"/>
  <c r="O90" i="13"/>
  <c r="P90" i="13" s="1"/>
  <c r="O32" i="13"/>
  <c r="P32" i="13" s="1"/>
  <c r="O57" i="13"/>
  <c r="P57" i="13" s="1"/>
  <c r="O148" i="13"/>
  <c r="P148" i="13" s="1"/>
  <c r="O54" i="13"/>
  <c r="P54" i="13" s="1"/>
  <c r="O150" i="13"/>
  <c r="P150" i="13" s="1"/>
  <c r="O66" i="13"/>
  <c r="P66" i="13" s="1"/>
  <c r="O149" i="13"/>
  <c r="P149" i="13" s="1"/>
  <c r="H14" i="9"/>
  <c r="K242" i="30"/>
  <c r="K57" i="13"/>
  <c r="L57" i="13" s="1"/>
  <c r="K166" i="30"/>
  <c r="K150" i="13"/>
  <c r="L150" i="13" s="1"/>
  <c r="K59" i="13"/>
  <c r="L59" i="13" s="1"/>
  <c r="K165" i="30"/>
  <c r="K53" i="13"/>
  <c r="L53" i="13" s="1"/>
  <c r="K56" i="13"/>
  <c r="L56" i="13" s="1"/>
  <c r="I87" i="13"/>
  <c r="J87" i="13" s="1"/>
  <c r="K54" i="13"/>
  <c r="L54" i="13" s="1"/>
  <c r="K62" i="30"/>
  <c r="K55" i="13"/>
  <c r="L55" i="13" s="1"/>
  <c r="I215" i="30"/>
  <c r="I213" i="30"/>
  <c r="K213" i="30"/>
  <c r="K140" i="30"/>
  <c r="K124" i="13"/>
  <c r="L124" i="13" s="1"/>
  <c r="K216" i="30"/>
  <c r="K134" i="30"/>
  <c r="K141" i="30"/>
  <c r="K127" i="13"/>
  <c r="L127" i="13" s="1"/>
  <c r="K135" i="30"/>
  <c r="K212" i="30"/>
  <c r="K126" i="13"/>
  <c r="L126" i="13" s="1"/>
  <c r="K214" i="30"/>
  <c r="K139" i="30"/>
  <c r="K128" i="13"/>
  <c r="L128" i="13" s="1"/>
  <c r="K215" i="30"/>
  <c r="K210" i="30"/>
  <c r="K136" i="30"/>
  <c r="I212" i="30"/>
  <c r="K125" i="13"/>
  <c r="L125" i="13" s="1"/>
  <c r="K129" i="13"/>
  <c r="L129" i="13" s="1"/>
  <c r="K130" i="13"/>
  <c r="L130" i="13" s="1"/>
  <c r="I216" i="30"/>
  <c r="I91" i="13"/>
  <c r="J91" i="13" s="1"/>
  <c r="K144" i="30"/>
  <c r="I84" i="13"/>
  <c r="J84" i="13" s="1"/>
  <c r="K132" i="13"/>
  <c r="L132" i="13" s="1"/>
  <c r="K137" i="30"/>
  <c r="K138" i="30"/>
  <c r="K133" i="13"/>
  <c r="L133" i="13" s="1"/>
  <c r="K131" i="13"/>
  <c r="L131" i="13" s="1"/>
  <c r="K135" i="13"/>
  <c r="L135" i="13" s="1"/>
  <c r="K134" i="13"/>
  <c r="L134" i="13" s="1"/>
  <c r="K145" i="30"/>
  <c r="K222" i="30"/>
  <c r="K136" i="13"/>
  <c r="L136" i="13" s="1"/>
  <c r="K219" i="30"/>
  <c r="K223" i="30"/>
  <c r="K221" i="30"/>
  <c r="I99" i="30"/>
  <c r="I95" i="30"/>
  <c r="I95" i="13"/>
  <c r="J95" i="13" s="1"/>
  <c r="K143" i="30"/>
  <c r="I92" i="30"/>
  <c r="K60" i="30"/>
  <c r="K146" i="30"/>
  <c r="M132" i="13"/>
  <c r="N132" i="13" s="1"/>
  <c r="M134" i="13"/>
  <c r="N134" i="13" s="1"/>
  <c r="M133" i="13"/>
  <c r="N133" i="13" s="1"/>
  <c r="M135" i="13"/>
  <c r="N135" i="13" s="1"/>
  <c r="M131" i="13"/>
  <c r="N131" i="13" s="1"/>
  <c r="M136" i="13"/>
  <c r="N136" i="13" s="1"/>
  <c r="I98" i="30"/>
  <c r="I94" i="13"/>
  <c r="J94" i="13" s="1"/>
  <c r="I136" i="13"/>
  <c r="J136" i="13" s="1"/>
  <c r="I221" i="30"/>
  <c r="I222" i="30"/>
  <c r="I132" i="13"/>
  <c r="J132" i="13" s="1"/>
  <c r="I89" i="13"/>
  <c r="J89" i="13" s="1"/>
  <c r="I96" i="13"/>
  <c r="J96" i="13" s="1"/>
  <c r="I93" i="30"/>
  <c r="K220" i="30"/>
  <c r="I88" i="13"/>
  <c r="J88" i="13" s="1"/>
  <c r="I85" i="13"/>
  <c r="J85" i="13" s="1"/>
  <c r="I97" i="30"/>
  <c r="K211" i="30"/>
  <c r="M125" i="13"/>
  <c r="N125" i="13" s="1"/>
  <c r="M127" i="13"/>
  <c r="N127" i="13" s="1"/>
  <c r="K133" i="30"/>
  <c r="M130" i="13"/>
  <c r="N130" i="13" s="1"/>
  <c r="M128" i="13"/>
  <c r="N128" i="13" s="1"/>
  <c r="M124" i="13"/>
  <c r="N124" i="13" s="1"/>
  <c r="K217" i="30"/>
  <c r="M129" i="13"/>
  <c r="N129" i="13" s="1"/>
  <c r="M126" i="13"/>
  <c r="N126" i="13" s="1"/>
  <c r="I211" i="30"/>
  <c r="I136" i="30"/>
  <c r="I125" i="13"/>
  <c r="J125" i="13" s="1"/>
  <c r="I139" i="30"/>
  <c r="I137" i="30"/>
  <c r="I210" i="30"/>
  <c r="I128" i="13"/>
  <c r="J128" i="13" s="1"/>
  <c r="I135" i="30"/>
  <c r="I140" i="30"/>
  <c r="I127" i="13"/>
  <c r="J127" i="13" s="1"/>
  <c r="I138" i="30"/>
  <c r="I214" i="30"/>
  <c r="I129" i="13"/>
  <c r="J129" i="13" s="1"/>
  <c r="I141" i="30"/>
  <c r="I217" i="30"/>
  <c r="K76" i="30"/>
  <c r="K68" i="13"/>
  <c r="L68" i="13" s="1"/>
  <c r="K33" i="13"/>
  <c r="L33" i="13" s="1"/>
  <c r="I67" i="13"/>
  <c r="J67" i="13" s="1"/>
  <c r="I77" i="30"/>
  <c r="I74" i="30"/>
  <c r="K69" i="13"/>
  <c r="L69" i="13" s="1"/>
  <c r="K67" i="13"/>
  <c r="L67" i="13" s="1"/>
  <c r="I134" i="30"/>
  <c r="I124" i="13"/>
  <c r="J124" i="13" s="1"/>
  <c r="I133" i="30"/>
  <c r="I130" i="13"/>
  <c r="J130" i="13" s="1"/>
  <c r="I218" i="30"/>
  <c r="I126" i="13"/>
  <c r="J126" i="13" s="1"/>
  <c r="I163" i="30"/>
  <c r="I241" i="30"/>
  <c r="I150" i="13"/>
  <c r="J150" i="13" s="1"/>
  <c r="I238" i="30"/>
  <c r="I169" i="30"/>
  <c r="I243" i="30"/>
  <c r="I149" i="13"/>
  <c r="J149" i="13" s="1"/>
  <c r="I246" i="30"/>
  <c r="I242" i="30"/>
  <c r="I148" i="13"/>
  <c r="J148" i="13" s="1"/>
  <c r="I166" i="30"/>
  <c r="I162" i="30"/>
  <c r="I239" i="30"/>
  <c r="I168" i="30"/>
  <c r="I167" i="30"/>
  <c r="I240" i="30"/>
  <c r="I245" i="30"/>
  <c r="I244" i="30"/>
  <c r="I165" i="30"/>
  <c r="I161" i="30"/>
  <c r="I164" i="30"/>
  <c r="K246" i="30"/>
  <c r="K167" i="30"/>
  <c r="M150" i="13"/>
  <c r="N150" i="13" s="1"/>
  <c r="K149" i="13"/>
  <c r="L149" i="13" s="1"/>
  <c r="K169" i="30"/>
  <c r="K245" i="30"/>
  <c r="K240" i="30"/>
  <c r="K161" i="30"/>
  <c r="K164" i="30"/>
  <c r="K168" i="30"/>
  <c r="M148" i="13"/>
  <c r="N148" i="13" s="1"/>
  <c r="K148" i="13"/>
  <c r="L148" i="13" s="1"/>
  <c r="K241" i="30"/>
  <c r="K238" i="30"/>
  <c r="M149" i="13"/>
  <c r="N149" i="13" s="1"/>
  <c r="K243" i="30"/>
  <c r="K163" i="30"/>
  <c r="K162" i="30"/>
  <c r="K239" i="30"/>
  <c r="K96" i="30"/>
  <c r="K94" i="13"/>
  <c r="L94" i="13" s="1"/>
  <c r="K96" i="13"/>
  <c r="L96" i="13" s="1"/>
  <c r="K99" i="30"/>
  <c r="K87" i="13"/>
  <c r="L87" i="13" s="1"/>
  <c r="K86" i="13"/>
  <c r="L86" i="13" s="1"/>
  <c r="K88" i="13"/>
  <c r="L88" i="13" s="1"/>
  <c r="K84" i="13"/>
  <c r="L84" i="13" s="1"/>
  <c r="K95" i="30"/>
  <c r="K93" i="30"/>
  <c r="I96" i="30"/>
  <c r="I92" i="13"/>
  <c r="J92" i="13" s="1"/>
  <c r="I86" i="13"/>
  <c r="J86" i="13" s="1"/>
  <c r="I93" i="13"/>
  <c r="J93" i="13" s="1"/>
  <c r="I90" i="13"/>
  <c r="J90" i="13" s="1"/>
  <c r="K91" i="13"/>
  <c r="L91" i="13" s="1"/>
  <c r="K89" i="13"/>
  <c r="L89" i="13" s="1"/>
  <c r="M91" i="13"/>
  <c r="N91" i="13" s="1"/>
  <c r="M87" i="13"/>
  <c r="N87" i="13" s="1"/>
  <c r="M93" i="13"/>
  <c r="N93" i="13" s="1"/>
  <c r="M96" i="13"/>
  <c r="N96" i="13" s="1"/>
  <c r="M85" i="13"/>
  <c r="N85" i="13" s="1"/>
  <c r="M95" i="13"/>
  <c r="N95" i="13" s="1"/>
  <c r="M89" i="13"/>
  <c r="N89" i="13" s="1"/>
  <c r="M88" i="13"/>
  <c r="N88" i="13" s="1"/>
  <c r="M94" i="13"/>
  <c r="N94" i="13" s="1"/>
  <c r="M90" i="13"/>
  <c r="N90" i="13" s="1"/>
  <c r="M92" i="13"/>
  <c r="N92" i="13" s="1"/>
  <c r="K93" i="13"/>
  <c r="L93" i="13" s="1"/>
  <c r="M86" i="13"/>
  <c r="N86" i="13" s="1"/>
  <c r="M84" i="13"/>
  <c r="N84" i="13" s="1"/>
  <c r="K85" i="13"/>
  <c r="L85" i="13" s="1"/>
  <c r="K92" i="30"/>
  <c r="K90" i="13"/>
  <c r="L90" i="13" s="1"/>
  <c r="K94" i="30"/>
  <c r="K95" i="13"/>
  <c r="L95" i="13" s="1"/>
  <c r="K97" i="30"/>
  <c r="K92" i="13"/>
  <c r="L92" i="13" s="1"/>
  <c r="I76" i="30"/>
  <c r="I65" i="13"/>
  <c r="J65" i="13" s="1"/>
  <c r="M67" i="13"/>
  <c r="N67" i="13" s="1"/>
  <c r="K73" i="30"/>
  <c r="M69" i="13"/>
  <c r="N69" i="13" s="1"/>
  <c r="K66" i="13"/>
  <c r="L66" i="13" s="1"/>
  <c r="M66" i="13"/>
  <c r="N66" i="13" s="1"/>
  <c r="M68" i="13"/>
  <c r="N68" i="13" s="1"/>
  <c r="M65" i="13"/>
  <c r="N65" i="13" s="1"/>
  <c r="K72" i="30"/>
  <c r="K74" i="30"/>
  <c r="I68" i="13"/>
  <c r="J68" i="13" s="1"/>
  <c r="K65" i="13"/>
  <c r="L65" i="13" s="1"/>
  <c r="I66" i="13"/>
  <c r="J66" i="13" s="1"/>
  <c r="I69" i="13"/>
  <c r="J69" i="13" s="1"/>
  <c r="I72" i="30"/>
  <c r="I75" i="30"/>
  <c r="K75" i="30"/>
  <c r="M59" i="13"/>
  <c r="N59" i="13" s="1"/>
  <c r="K66" i="30"/>
  <c r="K58" i="13"/>
  <c r="L58" i="13" s="1"/>
  <c r="K65" i="30"/>
  <c r="M60" i="13"/>
  <c r="N60" i="13" s="1"/>
  <c r="K64" i="30"/>
  <c r="M57" i="13"/>
  <c r="N57" i="13" s="1"/>
  <c r="M54" i="13"/>
  <c r="N54" i="13" s="1"/>
  <c r="M53" i="13"/>
  <c r="N53" i="13" s="1"/>
  <c r="M56" i="13"/>
  <c r="N56" i="13" s="1"/>
  <c r="M58" i="13"/>
  <c r="N58" i="13" s="1"/>
  <c r="M55" i="13"/>
  <c r="N55" i="13" s="1"/>
  <c r="K61" i="30"/>
  <c r="I53" i="13"/>
  <c r="J53" i="13" s="1"/>
  <c r="I66" i="30"/>
  <c r="I62" i="30"/>
  <c r="I63" i="30"/>
  <c r="K60" i="13"/>
  <c r="L60" i="13" s="1"/>
  <c r="I34" i="13"/>
  <c r="J34" i="13" s="1"/>
  <c r="I32" i="30"/>
  <c r="M33" i="13"/>
  <c r="N33" i="13" s="1"/>
  <c r="M34" i="13"/>
  <c r="N34" i="13" s="1"/>
  <c r="K32" i="13"/>
  <c r="L32" i="13" s="1"/>
  <c r="M32" i="13"/>
  <c r="N32" i="13" s="1"/>
  <c r="K32" i="30"/>
  <c r="I32" i="13"/>
  <c r="J32" i="13" s="1"/>
  <c r="M5" i="32"/>
  <c r="B5" i="29" s="1"/>
  <c r="Q30" i="30"/>
  <c r="B51" i="14"/>
  <c r="C18" i="13"/>
  <c r="C14" i="30"/>
  <c r="C14" i="13"/>
  <c r="K30" i="30"/>
  <c r="C15" i="30"/>
  <c r="C15" i="13"/>
  <c r="G14" i="29"/>
  <c r="J8" i="32"/>
  <c r="B3" i="13"/>
  <c r="J5" i="32"/>
  <c r="E21" i="17"/>
  <c r="R260" i="30" l="1"/>
  <c r="R252" i="30"/>
  <c r="R244" i="30"/>
  <c r="R236" i="30"/>
  <c r="R228" i="30"/>
  <c r="R220" i="30"/>
  <c r="R212" i="30"/>
  <c r="R204" i="30"/>
  <c r="R196" i="30"/>
  <c r="R188" i="30"/>
  <c r="R180" i="30"/>
  <c r="R172" i="30"/>
  <c r="R164" i="30"/>
  <c r="R156" i="30"/>
  <c r="R148" i="30"/>
  <c r="R140" i="30"/>
  <c r="R132" i="30"/>
  <c r="R124" i="30"/>
  <c r="R116" i="30"/>
  <c r="R108" i="30"/>
  <c r="R100" i="30"/>
  <c r="R92" i="30"/>
  <c r="R84" i="30"/>
  <c r="R76" i="30"/>
  <c r="R68" i="30"/>
  <c r="R60" i="30"/>
  <c r="R52" i="30"/>
  <c r="R44" i="30"/>
  <c r="R36" i="30"/>
  <c r="R65" i="30"/>
  <c r="R57" i="30"/>
  <c r="R112" i="30"/>
  <c r="R80" i="30"/>
  <c r="R64" i="30"/>
  <c r="R40" i="30"/>
  <c r="R230" i="30"/>
  <c r="R222" i="30"/>
  <c r="R190" i="30"/>
  <c r="R166" i="30"/>
  <c r="R134" i="30"/>
  <c r="R102" i="30"/>
  <c r="R54" i="30"/>
  <c r="R245" i="30"/>
  <c r="R205" i="30"/>
  <c r="R165" i="30"/>
  <c r="R157" i="30"/>
  <c r="R141" i="30"/>
  <c r="R109" i="30"/>
  <c r="R77" i="30"/>
  <c r="R259" i="30"/>
  <c r="R251" i="30"/>
  <c r="R243" i="30"/>
  <c r="R235" i="30"/>
  <c r="R227" i="30"/>
  <c r="R219" i="30"/>
  <c r="R211" i="30"/>
  <c r="R203" i="30"/>
  <c r="R195" i="30"/>
  <c r="R187" i="30"/>
  <c r="R179" i="30"/>
  <c r="R171" i="30"/>
  <c r="R163" i="30"/>
  <c r="R155" i="30"/>
  <c r="R147" i="30"/>
  <c r="R139" i="30"/>
  <c r="R131" i="30"/>
  <c r="R123" i="30"/>
  <c r="R115" i="30"/>
  <c r="R107" i="30"/>
  <c r="R99" i="30"/>
  <c r="R91" i="30"/>
  <c r="R83" i="30"/>
  <c r="R75" i="30"/>
  <c r="R67" i="30"/>
  <c r="R59" i="30"/>
  <c r="R51" i="30"/>
  <c r="R43" i="30"/>
  <c r="R35" i="30"/>
  <c r="R81" i="30"/>
  <c r="R33" i="30"/>
  <c r="R48" i="30"/>
  <c r="R258" i="30"/>
  <c r="R250" i="30"/>
  <c r="R242" i="30"/>
  <c r="R234" i="30"/>
  <c r="R226" i="30"/>
  <c r="R218" i="30"/>
  <c r="R210" i="30"/>
  <c r="R202" i="30"/>
  <c r="R194" i="30"/>
  <c r="R186" i="30"/>
  <c r="R178" i="30"/>
  <c r="R170" i="30"/>
  <c r="R162" i="30"/>
  <c r="R154" i="30"/>
  <c r="R146" i="30"/>
  <c r="R138" i="30"/>
  <c r="R130" i="30"/>
  <c r="R122" i="30"/>
  <c r="R114" i="30"/>
  <c r="R106" i="30"/>
  <c r="R98" i="30"/>
  <c r="R90" i="30"/>
  <c r="R82" i="30"/>
  <c r="R74" i="30"/>
  <c r="R66" i="30"/>
  <c r="R58" i="30"/>
  <c r="R50" i="30"/>
  <c r="R42" i="30"/>
  <c r="R34" i="30"/>
  <c r="R89" i="30"/>
  <c r="R49" i="30"/>
  <c r="R56" i="30"/>
  <c r="R254" i="30"/>
  <c r="R198" i="30"/>
  <c r="R150" i="30"/>
  <c r="R110" i="30"/>
  <c r="R94" i="30"/>
  <c r="R62" i="30"/>
  <c r="R253" i="30"/>
  <c r="R221" i="30"/>
  <c r="R197" i="30"/>
  <c r="R149" i="30"/>
  <c r="R125" i="30"/>
  <c r="R101" i="30"/>
  <c r="R45" i="30"/>
  <c r="R257" i="30"/>
  <c r="R249" i="30"/>
  <c r="R241" i="30"/>
  <c r="R233" i="30"/>
  <c r="R225" i="30"/>
  <c r="R217" i="30"/>
  <c r="R209" i="30"/>
  <c r="R201" i="30"/>
  <c r="R193" i="30"/>
  <c r="R185" i="30"/>
  <c r="R177" i="30"/>
  <c r="R169" i="30"/>
  <c r="R161" i="30"/>
  <c r="R153" i="30"/>
  <c r="R145" i="30"/>
  <c r="R137" i="30"/>
  <c r="R129" i="30"/>
  <c r="R121" i="30"/>
  <c r="R113" i="30"/>
  <c r="R105" i="30"/>
  <c r="R97" i="30"/>
  <c r="R73" i="30"/>
  <c r="R41" i="30"/>
  <c r="R88" i="30"/>
  <c r="R238" i="30"/>
  <c r="R174" i="30"/>
  <c r="R126" i="30"/>
  <c r="R86" i="30"/>
  <c r="R46" i="30"/>
  <c r="R229" i="30"/>
  <c r="R189" i="30"/>
  <c r="R117" i="30"/>
  <c r="R93" i="30"/>
  <c r="R53" i="30"/>
  <c r="R256" i="30"/>
  <c r="R248" i="30"/>
  <c r="R240" i="30"/>
  <c r="R232" i="30"/>
  <c r="R224" i="30"/>
  <c r="R216" i="30"/>
  <c r="R208" i="30"/>
  <c r="R200" i="30"/>
  <c r="R192" i="30"/>
  <c r="R184" i="30"/>
  <c r="R176" i="30"/>
  <c r="R168" i="30"/>
  <c r="R160" i="30"/>
  <c r="R152" i="30"/>
  <c r="R144" i="30"/>
  <c r="R136" i="30"/>
  <c r="R128" i="30"/>
  <c r="R120" i="30"/>
  <c r="R104" i="30"/>
  <c r="R96" i="30"/>
  <c r="R72" i="30"/>
  <c r="R246" i="30"/>
  <c r="R214" i="30"/>
  <c r="R206" i="30"/>
  <c r="R182" i="30"/>
  <c r="R158" i="30"/>
  <c r="R142" i="30"/>
  <c r="R118" i="30"/>
  <c r="R78" i="30"/>
  <c r="R70" i="30"/>
  <c r="R38" i="30"/>
  <c r="R237" i="30"/>
  <c r="R213" i="30"/>
  <c r="R181" i="30"/>
  <c r="R173" i="30"/>
  <c r="R133" i="30"/>
  <c r="R85" i="30"/>
  <c r="R69" i="30"/>
  <c r="R61" i="30"/>
  <c r="R37" i="30"/>
  <c r="R255" i="30"/>
  <c r="R247" i="30"/>
  <c r="R239" i="30"/>
  <c r="R231" i="30"/>
  <c r="R223" i="30"/>
  <c r="R215" i="30"/>
  <c r="R207" i="30"/>
  <c r="R199" i="30"/>
  <c r="R191" i="30"/>
  <c r="R183" i="30"/>
  <c r="R175" i="30"/>
  <c r="R167" i="30"/>
  <c r="R159" i="30"/>
  <c r="R151" i="30"/>
  <c r="R143" i="30"/>
  <c r="R135" i="30"/>
  <c r="R127" i="30"/>
  <c r="R119" i="30"/>
  <c r="R111" i="30"/>
  <c r="R103" i="30"/>
  <c r="R95" i="30"/>
  <c r="R87" i="30"/>
  <c r="R79" i="30"/>
  <c r="R71" i="30"/>
  <c r="R63" i="30"/>
  <c r="R55" i="30"/>
  <c r="R47" i="30"/>
  <c r="R39" i="30"/>
  <c r="P32" i="30"/>
  <c r="R32" i="30"/>
  <c r="P260" i="30"/>
  <c r="P252" i="30"/>
  <c r="P244" i="30"/>
  <c r="P236" i="30"/>
  <c r="P228" i="30"/>
  <c r="P220" i="30"/>
  <c r="P212" i="30"/>
  <c r="P204" i="30"/>
  <c r="P196" i="30"/>
  <c r="P188" i="30"/>
  <c r="P180" i="30"/>
  <c r="P172" i="30"/>
  <c r="P164" i="30"/>
  <c r="P156" i="30"/>
  <c r="P148" i="30"/>
  <c r="P140" i="30"/>
  <c r="P132" i="30"/>
  <c r="P124" i="30"/>
  <c r="P116" i="30"/>
  <c r="P108" i="30"/>
  <c r="P100" i="30"/>
  <c r="P92" i="30"/>
  <c r="P84" i="30"/>
  <c r="P76" i="30"/>
  <c r="P68" i="30"/>
  <c r="P60" i="30"/>
  <c r="P52" i="30"/>
  <c r="P44" i="30"/>
  <c r="P36" i="30"/>
  <c r="P160" i="30"/>
  <c r="P128" i="30"/>
  <c r="P88" i="30"/>
  <c r="P56" i="30"/>
  <c r="P259" i="30"/>
  <c r="P251" i="30"/>
  <c r="P243" i="30"/>
  <c r="P235" i="30"/>
  <c r="P227" i="30"/>
  <c r="P219" i="30"/>
  <c r="P211" i="30"/>
  <c r="P203" i="30"/>
  <c r="P195" i="30"/>
  <c r="P187" i="30"/>
  <c r="P179" i="30"/>
  <c r="P171" i="30"/>
  <c r="P163" i="30"/>
  <c r="P155" i="30"/>
  <c r="P147" i="30"/>
  <c r="P139" i="30"/>
  <c r="P131" i="30"/>
  <c r="P123" i="30"/>
  <c r="P115" i="30"/>
  <c r="P107" i="30"/>
  <c r="P99" i="30"/>
  <c r="P91" i="30"/>
  <c r="P83" i="30"/>
  <c r="P75" i="30"/>
  <c r="P67" i="30"/>
  <c r="P59" i="30"/>
  <c r="P51" i="30"/>
  <c r="P43" i="30"/>
  <c r="P35" i="30"/>
  <c r="P176" i="30"/>
  <c r="P144" i="30"/>
  <c r="P104" i="30"/>
  <c r="P72" i="30"/>
  <c r="P95" i="30"/>
  <c r="P45" i="30"/>
  <c r="P258" i="30"/>
  <c r="P250" i="30"/>
  <c r="P242" i="30"/>
  <c r="P234" i="30"/>
  <c r="P226" i="30"/>
  <c r="P218" i="30"/>
  <c r="P210" i="30"/>
  <c r="P202" i="30"/>
  <c r="P194" i="30"/>
  <c r="P186" i="30"/>
  <c r="P178" i="30"/>
  <c r="P170" i="30"/>
  <c r="P162" i="30"/>
  <c r="P154" i="30"/>
  <c r="P146" i="30"/>
  <c r="P138" i="30"/>
  <c r="P130" i="30"/>
  <c r="P122" i="30"/>
  <c r="P114" i="30"/>
  <c r="P106" i="30"/>
  <c r="P98" i="30"/>
  <c r="P90" i="30"/>
  <c r="P82" i="30"/>
  <c r="P74" i="30"/>
  <c r="P66" i="30"/>
  <c r="P58" i="30"/>
  <c r="P50" i="30"/>
  <c r="P42" i="30"/>
  <c r="P34" i="30"/>
  <c r="P184" i="30"/>
  <c r="P120" i="30"/>
  <c r="P48" i="30"/>
  <c r="P87" i="30"/>
  <c r="P55" i="30"/>
  <c r="P53" i="30"/>
  <c r="P257" i="30"/>
  <c r="P249" i="30"/>
  <c r="P241" i="30"/>
  <c r="P233" i="30"/>
  <c r="P225" i="30"/>
  <c r="P217" i="30"/>
  <c r="P209" i="30"/>
  <c r="P201" i="30"/>
  <c r="P193" i="30"/>
  <c r="P185" i="30"/>
  <c r="P177" i="30"/>
  <c r="P169" i="30"/>
  <c r="P161" i="30"/>
  <c r="P153" i="30"/>
  <c r="P145" i="30"/>
  <c r="P137" i="30"/>
  <c r="P129" i="30"/>
  <c r="P121" i="30"/>
  <c r="P113" i="30"/>
  <c r="P105" i="30"/>
  <c r="P97" i="30"/>
  <c r="P89" i="30"/>
  <c r="P81" i="30"/>
  <c r="P73" i="30"/>
  <c r="P65" i="30"/>
  <c r="P57" i="30"/>
  <c r="P49" i="30"/>
  <c r="P41" i="30"/>
  <c r="P33" i="30"/>
  <c r="P192" i="30"/>
  <c r="P136" i="30"/>
  <c r="P96" i="30"/>
  <c r="P64" i="30"/>
  <c r="P79" i="30"/>
  <c r="P47" i="30"/>
  <c r="P256" i="30"/>
  <c r="P248" i="30"/>
  <c r="P240" i="30"/>
  <c r="P232" i="30"/>
  <c r="P224" i="30"/>
  <c r="P216" i="30"/>
  <c r="P208" i="30"/>
  <c r="P200" i="30"/>
  <c r="P168" i="30"/>
  <c r="P152" i="30"/>
  <c r="P112" i="30"/>
  <c r="P80" i="30"/>
  <c r="P40" i="30"/>
  <c r="P63" i="30"/>
  <c r="P39" i="30"/>
  <c r="P37" i="30"/>
  <c r="P255" i="30"/>
  <c r="P247" i="30"/>
  <c r="P239" i="30"/>
  <c r="P231" i="30"/>
  <c r="P223" i="30"/>
  <c r="P215" i="30"/>
  <c r="P207" i="30"/>
  <c r="P199" i="30"/>
  <c r="P191" i="30"/>
  <c r="P183" i="30"/>
  <c r="P175" i="30"/>
  <c r="P167" i="30"/>
  <c r="P159" i="30"/>
  <c r="P151" i="30"/>
  <c r="P143" i="30"/>
  <c r="P135" i="30"/>
  <c r="P127" i="30"/>
  <c r="P119" i="30"/>
  <c r="P111" i="30"/>
  <c r="P103" i="30"/>
  <c r="P71" i="30"/>
  <c r="P254" i="30"/>
  <c r="P246" i="30"/>
  <c r="P238" i="30"/>
  <c r="P230" i="30"/>
  <c r="P222" i="30"/>
  <c r="P214" i="30"/>
  <c r="P206" i="30"/>
  <c r="P198" i="30"/>
  <c r="P190" i="30"/>
  <c r="P182" i="30"/>
  <c r="P174" i="30"/>
  <c r="P166" i="30"/>
  <c r="P158" i="30"/>
  <c r="P150" i="30"/>
  <c r="P142" i="30"/>
  <c r="P134" i="30"/>
  <c r="P126" i="30"/>
  <c r="P118" i="30"/>
  <c r="P110" i="30"/>
  <c r="P102" i="30"/>
  <c r="P94" i="30"/>
  <c r="P86" i="30"/>
  <c r="P78" i="30"/>
  <c r="P70" i="30"/>
  <c r="P62" i="30"/>
  <c r="P54" i="30"/>
  <c r="P46" i="30"/>
  <c r="P38" i="30"/>
  <c r="P109" i="30"/>
  <c r="P85" i="30"/>
  <c r="P61" i="30"/>
  <c r="P253" i="30"/>
  <c r="P245" i="30"/>
  <c r="P237" i="30"/>
  <c r="P229" i="30"/>
  <c r="P221" i="30"/>
  <c r="P213" i="30"/>
  <c r="P205" i="30"/>
  <c r="P197" i="30"/>
  <c r="P189" i="30"/>
  <c r="P181" i="30"/>
  <c r="P173" i="30"/>
  <c r="P165" i="30"/>
  <c r="P157" i="30"/>
  <c r="P149" i="30"/>
  <c r="P141" i="30"/>
  <c r="P133" i="30"/>
  <c r="P125" i="30"/>
  <c r="P117" i="30"/>
  <c r="P101" i="30"/>
  <c r="P93" i="30"/>
  <c r="P77" i="30"/>
  <c r="P69" i="30"/>
  <c r="N32" i="30"/>
  <c r="N260" i="30"/>
  <c r="N252" i="30"/>
  <c r="N244" i="30"/>
  <c r="N236" i="30"/>
  <c r="N228" i="30"/>
  <c r="N220" i="30"/>
  <c r="N212" i="30"/>
  <c r="N204" i="30"/>
  <c r="N196" i="30"/>
  <c r="N188" i="30"/>
  <c r="N180" i="30"/>
  <c r="N172" i="30"/>
  <c r="N164" i="30"/>
  <c r="N156" i="30"/>
  <c r="N148" i="30"/>
  <c r="N140" i="30"/>
  <c r="N132" i="30"/>
  <c r="N124" i="30"/>
  <c r="N116" i="30"/>
  <c r="N108" i="30"/>
  <c r="N100" i="30"/>
  <c r="N92" i="30"/>
  <c r="N84" i="30"/>
  <c r="N76" i="30"/>
  <c r="N68" i="30"/>
  <c r="N60" i="30"/>
  <c r="N52" i="30"/>
  <c r="N44" i="30"/>
  <c r="N36" i="30"/>
  <c r="N50" i="30"/>
  <c r="N34" i="30"/>
  <c r="N96" i="30"/>
  <c r="N64" i="30"/>
  <c r="N207" i="30"/>
  <c r="N135" i="30"/>
  <c r="N79" i="30"/>
  <c r="N259" i="30"/>
  <c r="N251" i="30"/>
  <c r="N243" i="30"/>
  <c r="N235" i="30"/>
  <c r="N227" i="30"/>
  <c r="N219" i="30"/>
  <c r="N211" i="30"/>
  <c r="N203" i="30"/>
  <c r="N195" i="30"/>
  <c r="N187" i="30"/>
  <c r="N179" i="30"/>
  <c r="N171" i="30"/>
  <c r="N163" i="30"/>
  <c r="N155" i="30"/>
  <c r="N147" i="30"/>
  <c r="N139" i="30"/>
  <c r="N131" i="30"/>
  <c r="N123" i="30"/>
  <c r="N115" i="30"/>
  <c r="N107" i="30"/>
  <c r="N99" i="30"/>
  <c r="N91" i="30"/>
  <c r="N83" i="30"/>
  <c r="N75" i="30"/>
  <c r="N67" i="30"/>
  <c r="N59" i="30"/>
  <c r="N51" i="30"/>
  <c r="N43" i="30"/>
  <c r="N35" i="30"/>
  <c r="N66" i="30"/>
  <c r="N104" i="30"/>
  <c r="N72" i="30"/>
  <c r="N258" i="30"/>
  <c r="N250" i="30"/>
  <c r="N242" i="30"/>
  <c r="N234" i="30"/>
  <c r="N226" i="30"/>
  <c r="N218" i="30"/>
  <c r="N210" i="30"/>
  <c r="N202" i="30"/>
  <c r="N194" i="30"/>
  <c r="N186" i="30"/>
  <c r="N178" i="30"/>
  <c r="N170" i="30"/>
  <c r="N162" i="30"/>
  <c r="N154" i="30"/>
  <c r="N146" i="30"/>
  <c r="N138" i="30"/>
  <c r="N130" i="30"/>
  <c r="N122" i="30"/>
  <c r="N114" i="30"/>
  <c r="N106" i="30"/>
  <c r="N98" i="30"/>
  <c r="N90" i="30"/>
  <c r="N82" i="30"/>
  <c r="N74" i="30"/>
  <c r="N58" i="30"/>
  <c r="N42" i="30"/>
  <c r="N56" i="30"/>
  <c r="N199" i="30"/>
  <c r="N167" i="30"/>
  <c r="N119" i="30"/>
  <c r="N87" i="30"/>
  <c r="N55" i="30"/>
  <c r="N173" i="30"/>
  <c r="N125" i="30"/>
  <c r="N77" i="30"/>
  <c r="N53" i="30"/>
  <c r="N257" i="30"/>
  <c r="N249" i="30"/>
  <c r="N241" i="30"/>
  <c r="N233" i="30"/>
  <c r="N225" i="30"/>
  <c r="N217" i="30"/>
  <c r="N209" i="30"/>
  <c r="N201" i="30"/>
  <c r="N193" i="30"/>
  <c r="N185" i="30"/>
  <c r="N177" i="30"/>
  <c r="N169" i="30"/>
  <c r="N161" i="30"/>
  <c r="N153" i="30"/>
  <c r="N145" i="30"/>
  <c r="N137" i="30"/>
  <c r="N129" i="30"/>
  <c r="N121" i="30"/>
  <c r="N113" i="30"/>
  <c r="N105" i="30"/>
  <c r="N97" i="30"/>
  <c r="N89" i="30"/>
  <c r="N81" i="30"/>
  <c r="N73" i="30"/>
  <c r="N65" i="30"/>
  <c r="N57" i="30"/>
  <c r="N49" i="30"/>
  <c r="N41" i="30"/>
  <c r="N33" i="30"/>
  <c r="N144" i="30"/>
  <c r="N120" i="30"/>
  <c r="N80" i="30"/>
  <c r="N40" i="30"/>
  <c r="N175" i="30"/>
  <c r="N159" i="30"/>
  <c r="N127" i="30"/>
  <c r="N103" i="30"/>
  <c r="N71" i="30"/>
  <c r="N39" i="30"/>
  <c r="N157" i="30"/>
  <c r="N109" i="30"/>
  <c r="N69" i="30"/>
  <c r="N256" i="30"/>
  <c r="N248" i="30"/>
  <c r="N240" i="30"/>
  <c r="N232" i="30"/>
  <c r="N224" i="30"/>
  <c r="N216" i="30"/>
  <c r="N208" i="30"/>
  <c r="N200" i="30"/>
  <c r="N192" i="30"/>
  <c r="N184" i="30"/>
  <c r="N176" i="30"/>
  <c r="N168" i="30"/>
  <c r="N160" i="30"/>
  <c r="N152" i="30"/>
  <c r="N136" i="30"/>
  <c r="N128" i="30"/>
  <c r="N112" i="30"/>
  <c r="N88" i="30"/>
  <c r="N48" i="30"/>
  <c r="N191" i="30"/>
  <c r="N143" i="30"/>
  <c r="N95" i="30"/>
  <c r="N63" i="30"/>
  <c r="N181" i="30"/>
  <c r="N133" i="30"/>
  <c r="N93" i="30"/>
  <c r="N45" i="30"/>
  <c r="N255" i="30"/>
  <c r="N247" i="30"/>
  <c r="N239" i="30"/>
  <c r="N231" i="30"/>
  <c r="N223" i="30"/>
  <c r="N215" i="30"/>
  <c r="N183" i="30"/>
  <c r="N151" i="30"/>
  <c r="N111" i="30"/>
  <c r="N47" i="30"/>
  <c r="N141" i="30"/>
  <c r="N101" i="30"/>
  <c r="N37" i="30"/>
  <c r="N254" i="30"/>
  <c r="N246" i="30"/>
  <c r="N238" i="30"/>
  <c r="N230" i="30"/>
  <c r="N222" i="30"/>
  <c r="N214" i="30"/>
  <c r="N206" i="30"/>
  <c r="N198" i="30"/>
  <c r="N190" i="30"/>
  <c r="N182" i="30"/>
  <c r="N174" i="30"/>
  <c r="N166" i="30"/>
  <c r="N158" i="30"/>
  <c r="N150" i="30"/>
  <c r="N142" i="30"/>
  <c r="N134" i="30"/>
  <c r="N126" i="30"/>
  <c r="N118" i="30"/>
  <c r="N110" i="30"/>
  <c r="N102" i="30"/>
  <c r="N94" i="30"/>
  <c r="N86" i="30"/>
  <c r="N78" i="30"/>
  <c r="N70" i="30"/>
  <c r="N62" i="30"/>
  <c r="N54" i="30"/>
  <c r="N46" i="30"/>
  <c r="N38" i="30"/>
  <c r="N253" i="30"/>
  <c r="N245" i="30"/>
  <c r="N237" i="30"/>
  <c r="N229" i="30"/>
  <c r="N221" i="30"/>
  <c r="N213" i="30"/>
  <c r="N205" i="30"/>
  <c r="N197" i="30"/>
  <c r="N189" i="30"/>
  <c r="N165" i="30"/>
  <c r="N149" i="30"/>
  <c r="N117" i="30"/>
  <c r="N85" i="30"/>
  <c r="N61" i="30"/>
  <c r="L260" i="30"/>
  <c r="L252" i="30"/>
  <c r="L244" i="30"/>
  <c r="L236" i="30"/>
  <c r="L228" i="30"/>
  <c r="L220" i="30"/>
  <c r="L212" i="30"/>
  <c r="L204" i="30"/>
  <c r="L196" i="30"/>
  <c r="L188" i="30"/>
  <c r="L180" i="30"/>
  <c r="L172" i="30"/>
  <c r="L164" i="30"/>
  <c r="L156" i="30"/>
  <c r="L148" i="30"/>
  <c r="L140" i="30"/>
  <c r="L132" i="30"/>
  <c r="L124" i="30"/>
  <c r="L116" i="30"/>
  <c r="L108" i="30"/>
  <c r="L100" i="30"/>
  <c r="L92" i="30"/>
  <c r="L84" i="30"/>
  <c r="L76" i="30"/>
  <c r="L68" i="30"/>
  <c r="L60" i="30"/>
  <c r="L52" i="30"/>
  <c r="L44" i="30"/>
  <c r="L36" i="30"/>
  <c r="L259" i="30"/>
  <c r="L251" i="30"/>
  <c r="L243" i="30"/>
  <c r="L235" i="30"/>
  <c r="L227" i="30"/>
  <c r="L219" i="30"/>
  <c r="L211" i="30"/>
  <c r="L203" i="30"/>
  <c r="L195" i="30"/>
  <c r="L187" i="30"/>
  <c r="L179" i="30"/>
  <c r="L171" i="30"/>
  <c r="L163" i="30"/>
  <c r="L155" i="30"/>
  <c r="L147" i="30"/>
  <c r="L139" i="30"/>
  <c r="L131" i="30"/>
  <c r="L123" i="30"/>
  <c r="L115" i="30"/>
  <c r="L107" i="30"/>
  <c r="L99" i="30"/>
  <c r="L91" i="30"/>
  <c r="L83" i="30"/>
  <c r="L75" i="30"/>
  <c r="L67" i="30"/>
  <c r="L59" i="30"/>
  <c r="L51" i="30"/>
  <c r="L43" i="30"/>
  <c r="L35" i="30"/>
  <c r="L40" i="30"/>
  <c r="L39" i="30"/>
  <c r="L221" i="30"/>
  <c r="L173" i="30"/>
  <c r="L141" i="30"/>
  <c r="L93" i="30"/>
  <c r="L45" i="30"/>
  <c r="L258" i="30"/>
  <c r="L250" i="30"/>
  <c r="L242" i="30"/>
  <c r="L234" i="30"/>
  <c r="L226" i="30"/>
  <c r="L218" i="30"/>
  <c r="L210" i="30"/>
  <c r="L202" i="30"/>
  <c r="L194" i="30"/>
  <c r="L186" i="30"/>
  <c r="L178" i="30"/>
  <c r="L170" i="30"/>
  <c r="L162" i="30"/>
  <c r="L154" i="30"/>
  <c r="L146" i="30"/>
  <c r="L138" i="30"/>
  <c r="L130" i="30"/>
  <c r="L122" i="30"/>
  <c r="L114" i="30"/>
  <c r="L106" i="30"/>
  <c r="L98" i="30"/>
  <c r="L90" i="30"/>
  <c r="L82" i="30"/>
  <c r="L74" i="30"/>
  <c r="L66" i="30"/>
  <c r="L58" i="30"/>
  <c r="L50" i="30"/>
  <c r="L42" i="30"/>
  <c r="L34" i="30"/>
  <c r="L56" i="30"/>
  <c r="L47" i="30"/>
  <c r="L237" i="30"/>
  <c r="L189" i="30"/>
  <c r="L165" i="30"/>
  <c r="L133" i="30"/>
  <c r="L101" i="30"/>
  <c r="L69" i="30"/>
  <c r="L37" i="30"/>
  <c r="L257" i="30"/>
  <c r="L249" i="30"/>
  <c r="L241" i="30"/>
  <c r="L233" i="30"/>
  <c r="L225" i="30"/>
  <c r="L217" i="30"/>
  <c r="L209" i="30"/>
  <c r="L201" i="30"/>
  <c r="L193" i="30"/>
  <c r="L185" i="30"/>
  <c r="L177" i="30"/>
  <c r="L169" i="30"/>
  <c r="L161" i="30"/>
  <c r="L153" i="30"/>
  <c r="L145" i="30"/>
  <c r="L137" i="30"/>
  <c r="L129" i="30"/>
  <c r="L121" i="30"/>
  <c r="L113" i="30"/>
  <c r="L105" i="30"/>
  <c r="L97" i="30"/>
  <c r="L89" i="30"/>
  <c r="L81" i="30"/>
  <c r="L73" i="30"/>
  <c r="L65" i="30"/>
  <c r="L57" i="30"/>
  <c r="L49" i="30"/>
  <c r="L41" i="30"/>
  <c r="L33" i="30"/>
  <c r="L64" i="30"/>
  <c r="L229" i="30"/>
  <c r="L149" i="30"/>
  <c r="L85" i="30"/>
  <c r="L256" i="30"/>
  <c r="L248" i="30"/>
  <c r="L240" i="30"/>
  <c r="L232" i="30"/>
  <c r="L224" i="30"/>
  <c r="L216" i="30"/>
  <c r="L208" i="30"/>
  <c r="L200" i="30"/>
  <c r="L192" i="30"/>
  <c r="L184" i="30"/>
  <c r="L176" i="30"/>
  <c r="L168" i="30"/>
  <c r="L160" i="30"/>
  <c r="L152" i="30"/>
  <c r="L144" i="30"/>
  <c r="L136" i="30"/>
  <c r="L128" i="30"/>
  <c r="L120" i="30"/>
  <c r="L112" i="30"/>
  <c r="L104" i="30"/>
  <c r="L96" i="30"/>
  <c r="L88" i="30"/>
  <c r="L80" i="30"/>
  <c r="L72" i="30"/>
  <c r="L48" i="30"/>
  <c r="L213" i="30"/>
  <c r="L117" i="30"/>
  <c r="L61" i="30"/>
  <c r="L255" i="30"/>
  <c r="L247" i="30"/>
  <c r="L239" i="30"/>
  <c r="L231" i="30"/>
  <c r="L223" i="30"/>
  <c r="L215" i="30"/>
  <c r="L207" i="30"/>
  <c r="L199" i="30"/>
  <c r="L191" i="30"/>
  <c r="L183" i="30"/>
  <c r="L175" i="30"/>
  <c r="L167" i="30"/>
  <c r="L159" i="30"/>
  <c r="L151" i="30"/>
  <c r="L143" i="30"/>
  <c r="L135" i="30"/>
  <c r="L127" i="30"/>
  <c r="L119" i="30"/>
  <c r="L111" i="30"/>
  <c r="L103" i="30"/>
  <c r="L95" i="30"/>
  <c r="L87" i="30"/>
  <c r="L79" i="30"/>
  <c r="L71" i="30"/>
  <c r="L63" i="30"/>
  <c r="L55" i="30"/>
  <c r="L254" i="30"/>
  <c r="L246" i="30"/>
  <c r="L238" i="30"/>
  <c r="L230" i="30"/>
  <c r="L222" i="30"/>
  <c r="L214" i="30"/>
  <c r="L206" i="30"/>
  <c r="L198" i="30"/>
  <c r="L190" i="30"/>
  <c r="L182" i="30"/>
  <c r="L174" i="30"/>
  <c r="L166" i="30"/>
  <c r="L158" i="30"/>
  <c r="L150" i="30"/>
  <c r="L142" i="30"/>
  <c r="L134" i="30"/>
  <c r="L126" i="30"/>
  <c r="L118" i="30"/>
  <c r="L110" i="30"/>
  <c r="L102" i="30"/>
  <c r="L94" i="30"/>
  <c r="L86" i="30"/>
  <c r="L78" i="30"/>
  <c r="L70" i="30"/>
  <c r="L62" i="30"/>
  <c r="L54" i="30"/>
  <c r="L46" i="30"/>
  <c r="L38" i="30"/>
  <c r="L253" i="30"/>
  <c r="L245" i="30"/>
  <c r="L205" i="30"/>
  <c r="L197" i="30"/>
  <c r="L181" i="30"/>
  <c r="L157" i="30"/>
  <c r="L125" i="30"/>
  <c r="L109" i="30"/>
  <c r="L77" i="30"/>
  <c r="L53" i="30"/>
  <c r="L32" i="30"/>
  <c r="D18" i="30" a="1"/>
  <c r="D18" i="30" s="1"/>
  <c r="J32" i="30"/>
  <c r="D14" i="30" a="1"/>
  <c r="D14" i="30" s="1"/>
  <c r="J237" i="30" s="1"/>
  <c r="D16" i="30" a="1"/>
  <c r="D16" i="30" s="1"/>
  <c r="D15" i="30" a="1"/>
  <c r="D15" i="30" s="1"/>
  <c r="D17" i="30" a="1"/>
  <c r="D17" i="30" s="1"/>
  <c r="D14" i="13" a="1"/>
  <c r="D14" i="13" s="1"/>
  <c r="D18" i="13" a="1"/>
  <c r="D18" i="13" s="1"/>
  <c r="D17" i="13" a="1"/>
  <c r="D17" i="13" s="1"/>
  <c r="D16" i="13" a="1"/>
  <c r="D16" i="13" s="1"/>
  <c r="D15" i="13" a="1"/>
  <c r="D15" i="13" s="1"/>
  <c r="H31" i="13"/>
  <c r="F12" i="17"/>
  <c r="F13" i="17"/>
  <c r="F14" i="17"/>
  <c r="F15" i="17"/>
  <c r="F16" i="17"/>
  <c r="M7" i="32"/>
  <c r="B39" i="29" s="1"/>
  <c r="B36" i="13"/>
  <c r="G36" i="13" s="1"/>
  <c r="H36" i="13" s="1"/>
  <c r="B72" i="13"/>
  <c r="G72" i="13" s="1"/>
  <c r="H72" i="13" s="1"/>
  <c r="B88" i="13"/>
  <c r="B104" i="13"/>
  <c r="G104" i="13" s="1"/>
  <c r="H104" i="13" s="1"/>
  <c r="B128" i="13"/>
  <c r="B152" i="13"/>
  <c r="G152" i="13" s="1"/>
  <c r="H152" i="13" s="1"/>
  <c r="B105" i="13"/>
  <c r="G105" i="13" s="1"/>
  <c r="H105" i="13" s="1"/>
  <c r="B153" i="13"/>
  <c r="G153" i="13" s="1"/>
  <c r="H153" i="13" s="1"/>
  <c r="B73" i="13"/>
  <c r="G73" i="13" s="1"/>
  <c r="H73" i="13" s="1"/>
  <c r="B93" i="13"/>
  <c r="B157" i="13"/>
  <c r="G157" i="13" s="1"/>
  <c r="H157" i="13" s="1"/>
  <c r="B38" i="13"/>
  <c r="G38" i="13" s="1"/>
  <c r="H38" i="13" s="1"/>
  <c r="B74" i="13"/>
  <c r="G74" i="13" s="1"/>
  <c r="H74" i="13" s="1"/>
  <c r="B90" i="13"/>
  <c r="B106" i="13"/>
  <c r="G106" i="13" s="1"/>
  <c r="H106" i="13" s="1"/>
  <c r="B130" i="13"/>
  <c r="B154" i="13"/>
  <c r="G154" i="13" s="1"/>
  <c r="H154" i="13" s="1"/>
  <c r="B43" i="13"/>
  <c r="G43" i="13" s="1"/>
  <c r="H43" i="13" s="1"/>
  <c r="B79" i="13"/>
  <c r="G79" i="13" s="1"/>
  <c r="H79" i="13" s="1"/>
  <c r="B95" i="13"/>
  <c r="B119" i="13"/>
  <c r="G119" i="13" s="1"/>
  <c r="H119" i="13" s="1"/>
  <c r="B143" i="13"/>
  <c r="G143" i="13" s="1"/>
  <c r="H143" i="13" s="1"/>
  <c r="B52" i="13"/>
  <c r="G52" i="13" s="1"/>
  <c r="H52" i="13" s="1"/>
  <c r="B54" i="13"/>
  <c r="B58" i="13"/>
  <c r="B67" i="13"/>
  <c r="B34" i="13"/>
  <c r="B59" i="13"/>
  <c r="B40" i="13"/>
  <c r="G40" i="13" s="1"/>
  <c r="H40" i="13" s="1"/>
  <c r="B76" i="13"/>
  <c r="G76" i="13" s="1"/>
  <c r="H76" i="13" s="1"/>
  <c r="B92" i="13"/>
  <c r="B108" i="13"/>
  <c r="G108" i="13" s="1"/>
  <c r="H108" i="13" s="1"/>
  <c r="B132" i="13"/>
  <c r="G132" i="13" s="1"/>
  <c r="H132" i="13" s="1"/>
  <c r="B156" i="13"/>
  <c r="G156" i="13" s="1"/>
  <c r="H156" i="13" s="1"/>
  <c r="B121" i="13"/>
  <c r="G121" i="13" s="1"/>
  <c r="H121" i="13" s="1"/>
  <c r="B37" i="13"/>
  <c r="G37" i="13" s="1"/>
  <c r="H37" i="13" s="1"/>
  <c r="B77" i="13"/>
  <c r="G77" i="13" s="1"/>
  <c r="H77" i="13" s="1"/>
  <c r="B101" i="13"/>
  <c r="G101" i="13" s="1"/>
  <c r="H101" i="13" s="1"/>
  <c r="B127" i="13"/>
  <c r="B42" i="13"/>
  <c r="G42" i="13" s="1"/>
  <c r="H42" i="13" s="1"/>
  <c r="B78" i="13"/>
  <c r="G78" i="13" s="1"/>
  <c r="H78" i="13" s="1"/>
  <c r="B94" i="13"/>
  <c r="B118" i="13"/>
  <c r="G118" i="13" s="1"/>
  <c r="H118" i="13" s="1"/>
  <c r="B134" i="13"/>
  <c r="G134" i="13" s="1"/>
  <c r="H134" i="13" s="1"/>
  <c r="B158" i="13"/>
  <c r="G158" i="13" s="1"/>
  <c r="H158" i="13" s="1"/>
  <c r="B47" i="13"/>
  <c r="G47" i="13" s="1"/>
  <c r="H47" i="13" s="1"/>
  <c r="B83" i="13"/>
  <c r="G83" i="13" s="1"/>
  <c r="H83" i="13" s="1"/>
  <c r="B99" i="13"/>
  <c r="G99" i="13" s="1"/>
  <c r="H99" i="13" s="1"/>
  <c r="B123" i="13"/>
  <c r="G123" i="13" s="1"/>
  <c r="H123" i="13" s="1"/>
  <c r="B151" i="13"/>
  <c r="G151" i="13" s="1"/>
  <c r="H151" i="13" s="1"/>
  <c r="I30" i="13"/>
  <c r="B68" i="13"/>
  <c r="B66" i="13"/>
  <c r="B51" i="13"/>
  <c r="G51" i="13" s="1"/>
  <c r="H51" i="13" s="1"/>
  <c r="B55" i="13"/>
  <c r="B32" i="13"/>
  <c r="B57" i="13"/>
  <c r="B65" i="13"/>
  <c r="B48" i="13"/>
  <c r="G48" i="13" s="1"/>
  <c r="H48" i="13" s="1"/>
  <c r="B84" i="13"/>
  <c r="B100" i="13"/>
  <c r="G100" i="13" s="1"/>
  <c r="H100" i="13" s="1"/>
  <c r="B124" i="13"/>
  <c r="B144" i="13"/>
  <c r="G144" i="13" s="1"/>
  <c r="H144" i="13" s="1"/>
  <c r="B97" i="13"/>
  <c r="G97" i="13" s="1"/>
  <c r="H97" i="13" s="1"/>
  <c r="B145" i="13"/>
  <c r="G145" i="13" s="1"/>
  <c r="H145" i="13" s="1"/>
  <c r="B45" i="13"/>
  <c r="G45" i="13" s="1"/>
  <c r="H45" i="13" s="1"/>
  <c r="B89" i="13"/>
  <c r="B133" i="13"/>
  <c r="G133" i="13" s="1"/>
  <c r="H133" i="13" s="1"/>
  <c r="B155" i="13"/>
  <c r="G155" i="13" s="1"/>
  <c r="H155" i="13" s="1"/>
  <c r="B70" i="13"/>
  <c r="G70" i="13" s="1"/>
  <c r="H70" i="13" s="1"/>
  <c r="B86" i="13"/>
  <c r="B102" i="13"/>
  <c r="G102" i="13" s="1"/>
  <c r="H102" i="13" s="1"/>
  <c r="B126" i="13"/>
  <c r="B146" i="13"/>
  <c r="G146" i="13" s="1"/>
  <c r="H146" i="13" s="1"/>
  <c r="B39" i="13"/>
  <c r="G39" i="13" s="1"/>
  <c r="H39" i="13" s="1"/>
  <c r="B75" i="13"/>
  <c r="G75" i="13" s="1"/>
  <c r="H75" i="13" s="1"/>
  <c r="B91" i="13"/>
  <c r="B107" i="13"/>
  <c r="G107" i="13" s="1"/>
  <c r="H107" i="13" s="1"/>
  <c r="B135" i="13"/>
  <c r="G135" i="13" s="1"/>
  <c r="H135" i="13" s="1"/>
  <c r="B56" i="13"/>
  <c r="B60" i="13"/>
  <c r="B141" i="13"/>
  <c r="G141" i="13" s="1"/>
  <c r="H141" i="13" s="1"/>
  <c r="B96" i="13"/>
  <c r="B129" i="13"/>
  <c r="B147" i="13"/>
  <c r="G147" i="13" s="1"/>
  <c r="H147" i="13" s="1"/>
  <c r="B122" i="13"/>
  <c r="G122" i="13" s="1"/>
  <c r="H122" i="13" s="1"/>
  <c r="B87" i="13"/>
  <c r="B50" i="13"/>
  <c r="G50" i="13" s="1"/>
  <c r="H50" i="13" s="1"/>
  <c r="B53" i="13"/>
  <c r="B120" i="13"/>
  <c r="G120" i="13" s="1"/>
  <c r="H120" i="13" s="1"/>
  <c r="B41" i="13"/>
  <c r="G41" i="13" s="1"/>
  <c r="H41" i="13" s="1"/>
  <c r="B46" i="13"/>
  <c r="G46" i="13" s="1"/>
  <c r="H46" i="13" s="1"/>
  <c r="B142" i="13"/>
  <c r="G142" i="13" s="1"/>
  <c r="H142" i="13" s="1"/>
  <c r="B103" i="13"/>
  <c r="G103" i="13" s="1"/>
  <c r="H103" i="13" s="1"/>
  <c r="B33" i="13"/>
  <c r="B139" i="13"/>
  <c r="G139" i="13" s="1"/>
  <c r="H139" i="13" s="1"/>
  <c r="B137" i="13"/>
  <c r="G137" i="13" s="1"/>
  <c r="H137" i="13" s="1"/>
  <c r="D13" i="13"/>
  <c r="I12" i="13" s="1"/>
  <c r="B44" i="13"/>
  <c r="G44" i="13" s="1"/>
  <c r="H44" i="13" s="1"/>
  <c r="B35" i="13"/>
  <c r="G35" i="13" s="1"/>
  <c r="H35" i="13" s="1"/>
  <c r="B80" i="13"/>
  <c r="G80" i="13" s="1"/>
  <c r="H80" i="13" s="1"/>
  <c r="B71" i="13"/>
  <c r="G71" i="13" s="1"/>
  <c r="H71" i="13" s="1"/>
  <c r="B136" i="13"/>
  <c r="G136" i="13" s="1"/>
  <c r="H136" i="13" s="1"/>
  <c r="B131" i="13"/>
  <c r="G131" i="13" s="1"/>
  <c r="H131" i="13" s="1"/>
  <c r="B85" i="13"/>
  <c r="B159" i="13"/>
  <c r="G159" i="13" s="1"/>
  <c r="H159" i="13" s="1"/>
  <c r="B69" i="13"/>
  <c r="B138" i="13"/>
  <c r="G138" i="13" s="1"/>
  <c r="H138" i="13" s="1"/>
  <c r="B125" i="13"/>
  <c r="B82" i="13"/>
  <c r="G82" i="13" s="1"/>
  <c r="H82" i="13" s="1"/>
  <c r="B49" i="13"/>
  <c r="G49" i="13" s="1"/>
  <c r="H49" i="13" s="1"/>
  <c r="B81" i="13"/>
  <c r="G81" i="13" s="1"/>
  <c r="H81" i="13" s="1"/>
  <c r="B140" i="13"/>
  <c r="G140" i="13" s="1"/>
  <c r="H140" i="13" s="1"/>
  <c r="B98" i="13"/>
  <c r="G98" i="13" s="1"/>
  <c r="H98" i="13" s="1"/>
  <c r="K30" i="13"/>
  <c r="B109" i="13"/>
  <c r="G109" i="13" s="1"/>
  <c r="H109" i="13" s="1"/>
  <c r="B114" i="13"/>
  <c r="G114" i="13" s="1"/>
  <c r="H114" i="13" s="1"/>
  <c r="B62" i="13"/>
  <c r="G62" i="13" s="1"/>
  <c r="H62" i="13" s="1"/>
  <c r="O30" i="13"/>
  <c r="Q30" i="13"/>
  <c r="M30" i="13"/>
  <c r="B117" i="13"/>
  <c r="G117" i="13" s="1"/>
  <c r="H117" i="13" s="1"/>
  <c r="B110" i="13"/>
  <c r="G110" i="13" s="1"/>
  <c r="H110" i="13" s="1"/>
  <c r="B111" i="13"/>
  <c r="G111" i="13" s="1"/>
  <c r="H111" i="13" s="1"/>
  <c r="B63" i="13"/>
  <c r="G63" i="13" s="1"/>
  <c r="H63" i="13" s="1"/>
  <c r="B64" i="13"/>
  <c r="G64" i="13" s="1"/>
  <c r="H64" i="13" s="1"/>
  <c r="B61" i="13"/>
  <c r="G61" i="13" s="1"/>
  <c r="H61" i="13" s="1"/>
  <c r="B112" i="13"/>
  <c r="G112" i="13" s="1"/>
  <c r="H112" i="13" s="1"/>
  <c r="B116" i="13"/>
  <c r="G116" i="13" s="1"/>
  <c r="H116" i="13" s="1"/>
  <c r="B148" i="13"/>
  <c r="B115" i="13"/>
  <c r="G115" i="13" s="1"/>
  <c r="H115" i="13" s="1"/>
  <c r="B150" i="13"/>
  <c r="B149" i="13"/>
  <c r="B113" i="13"/>
  <c r="G113" i="13" s="1"/>
  <c r="H113" i="13" s="1"/>
  <c r="B50" i="30"/>
  <c r="G50" i="30" s="1"/>
  <c r="B106" i="30"/>
  <c r="G106" i="30" s="1"/>
  <c r="B143" i="30"/>
  <c r="G143" i="30" s="1"/>
  <c r="B175" i="30"/>
  <c r="G175" i="30" s="1"/>
  <c r="B213" i="30"/>
  <c r="B250" i="30"/>
  <c r="G250" i="30" s="1"/>
  <c r="B126" i="30"/>
  <c r="G126" i="30" s="1"/>
  <c r="B205" i="30"/>
  <c r="G205" i="30" s="1"/>
  <c r="B258" i="30"/>
  <c r="G258" i="30" s="1"/>
  <c r="B95" i="30"/>
  <c r="B179" i="30"/>
  <c r="G179" i="30" s="1"/>
  <c r="B233" i="30"/>
  <c r="G233" i="30" s="1"/>
  <c r="B35" i="30"/>
  <c r="G35" i="30" s="1"/>
  <c r="B75" i="30"/>
  <c r="B77" i="30"/>
  <c r="B151" i="30"/>
  <c r="G151" i="30" s="1"/>
  <c r="B225" i="30"/>
  <c r="G225" i="30" s="1"/>
  <c r="B44" i="30"/>
  <c r="G44" i="30" s="1"/>
  <c r="B84" i="30"/>
  <c r="G84" i="30" s="1"/>
  <c r="B100" i="30"/>
  <c r="G100" i="30" s="1"/>
  <c r="B132" i="30"/>
  <c r="G132" i="30" s="1"/>
  <c r="B156" i="30"/>
  <c r="G156" i="30" s="1"/>
  <c r="B180" i="30"/>
  <c r="G180" i="30" s="1"/>
  <c r="B212" i="30"/>
  <c r="B236" i="30"/>
  <c r="G236" i="30" s="1"/>
  <c r="B260" i="30"/>
  <c r="G260" i="30" s="1"/>
  <c r="B49" i="30"/>
  <c r="G49" i="30" s="1"/>
  <c r="B89" i="30"/>
  <c r="G89" i="30" s="1"/>
  <c r="B105" i="30"/>
  <c r="G105" i="30" s="1"/>
  <c r="B133" i="30"/>
  <c r="B43" i="30"/>
  <c r="G43" i="30" s="1"/>
  <c r="B99" i="30"/>
  <c r="B145" i="30"/>
  <c r="G145" i="30" s="1"/>
  <c r="B182" i="30"/>
  <c r="G182" i="30" s="1"/>
  <c r="B214" i="30"/>
  <c r="B257" i="30"/>
  <c r="G257" i="30" s="1"/>
  <c r="B102" i="30"/>
  <c r="G102" i="30" s="1"/>
  <c r="B178" i="30"/>
  <c r="G178" i="30" s="1"/>
  <c r="B237" i="30"/>
  <c r="G237" i="30" s="1"/>
  <c r="B158" i="30"/>
  <c r="G158" i="30" s="1"/>
  <c r="I30" i="30"/>
  <c r="B58" i="30"/>
  <c r="G58" i="30" s="1"/>
  <c r="B60" i="30"/>
  <c r="B228" i="30"/>
  <c r="G228" i="30" s="1"/>
  <c r="B230" i="30"/>
  <c r="G230" i="30" s="1"/>
  <c r="B82" i="30"/>
  <c r="G82" i="30" s="1"/>
  <c r="B122" i="30"/>
  <c r="G122" i="30" s="1"/>
  <c r="B154" i="30"/>
  <c r="G154" i="30" s="1"/>
  <c r="B181" i="30"/>
  <c r="G181" i="30" s="1"/>
  <c r="B218" i="30"/>
  <c r="B255" i="30"/>
  <c r="G255" i="30" s="1"/>
  <c r="B141" i="30"/>
  <c r="B221" i="30"/>
  <c r="G221" i="30" s="1"/>
  <c r="B39" i="30"/>
  <c r="G39" i="30" s="1"/>
  <c r="B103" i="30"/>
  <c r="G103" i="30" s="1"/>
  <c r="B201" i="30"/>
  <c r="G201" i="30" s="1"/>
  <c r="B249" i="30"/>
  <c r="G249" i="30" s="1"/>
  <c r="B57" i="30"/>
  <c r="G57" i="30" s="1"/>
  <c r="B152" i="30"/>
  <c r="G152" i="30" s="1"/>
  <c r="B153" i="30"/>
  <c r="G153" i="30" s="1"/>
  <c r="B48" i="30"/>
  <c r="G48" i="30" s="1"/>
  <c r="B88" i="30"/>
  <c r="G88" i="30" s="1"/>
  <c r="B104" i="30"/>
  <c r="G104" i="30" s="1"/>
  <c r="B136" i="30"/>
  <c r="B160" i="30"/>
  <c r="G160" i="30" s="1"/>
  <c r="B200" i="30"/>
  <c r="G200" i="30" s="1"/>
  <c r="B216" i="30"/>
  <c r="B248" i="30"/>
  <c r="G248" i="30" s="1"/>
  <c r="B33" i="30"/>
  <c r="G33" i="30" s="1"/>
  <c r="B53" i="30"/>
  <c r="G53" i="30" s="1"/>
  <c r="B93" i="30"/>
  <c r="B121" i="30"/>
  <c r="G121" i="30" s="1"/>
  <c r="B137" i="30"/>
  <c r="B51" i="30"/>
  <c r="G51" i="30" s="1"/>
  <c r="B123" i="30"/>
  <c r="G123" i="30" s="1"/>
  <c r="B155" i="30"/>
  <c r="G155" i="30" s="1"/>
  <c r="B198" i="30"/>
  <c r="G198" i="30" s="1"/>
  <c r="B219" i="30"/>
  <c r="G219" i="30" s="1"/>
  <c r="B38" i="30"/>
  <c r="G38" i="30" s="1"/>
  <c r="B134" i="30"/>
  <c r="B199" i="30"/>
  <c r="G199" i="30" s="1"/>
  <c r="B253" i="30"/>
  <c r="G253" i="30" s="1"/>
  <c r="B174" i="30"/>
  <c r="G174" i="30" s="1"/>
  <c r="D13" i="30"/>
  <c r="B74" i="30"/>
  <c r="B56" i="30"/>
  <c r="G56" i="30" s="1"/>
  <c r="B61" i="30"/>
  <c r="B229" i="30"/>
  <c r="G229" i="30" s="1"/>
  <c r="B148" i="30"/>
  <c r="G148" i="30" s="1"/>
  <c r="B52" i="30"/>
  <c r="G52" i="30" s="1"/>
  <c r="B92" i="30"/>
  <c r="B124" i="30"/>
  <c r="G124" i="30" s="1"/>
  <c r="B140" i="30"/>
  <c r="B172" i="30"/>
  <c r="G172" i="30" s="1"/>
  <c r="B204" i="30"/>
  <c r="G204" i="30" s="1"/>
  <c r="B220" i="30"/>
  <c r="G220" i="30" s="1"/>
  <c r="B252" i="30"/>
  <c r="G252" i="30" s="1"/>
  <c r="B41" i="30"/>
  <c r="G41" i="30" s="1"/>
  <c r="B81" i="30"/>
  <c r="G81" i="30" s="1"/>
  <c r="B97" i="30"/>
  <c r="B125" i="30"/>
  <c r="G125" i="30" s="1"/>
  <c r="B34" i="30"/>
  <c r="G34" i="30" s="1"/>
  <c r="B83" i="30"/>
  <c r="G83" i="30" s="1"/>
  <c r="B131" i="30"/>
  <c r="G131" i="30" s="1"/>
  <c r="B171" i="30"/>
  <c r="G171" i="30" s="1"/>
  <c r="B203" i="30"/>
  <c r="G203" i="30" s="1"/>
  <c r="B235" i="30"/>
  <c r="G235" i="30" s="1"/>
  <c r="B78" i="30"/>
  <c r="G78" i="30" s="1"/>
  <c r="B146" i="30"/>
  <c r="G146" i="30" s="1"/>
  <c r="B210" i="30"/>
  <c r="B79" i="30"/>
  <c r="G79" i="30" s="1"/>
  <c r="B206" i="30"/>
  <c r="G206" i="30" s="1"/>
  <c r="B76" i="30"/>
  <c r="B54" i="30"/>
  <c r="G54" i="30" s="1"/>
  <c r="B64" i="30"/>
  <c r="B65" i="30"/>
  <c r="B36" i="30"/>
  <c r="G36" i="30" s="1"/>
  <c r="B42" i="30"/>
  <c r="G42" i="30" s="1"/>
  <c r="B98" i="30"/>
  <c r="B138" i="30"/>
  <c r="B170" i="30"/>
  <c r="G170" i="30" s="1"/>
  <c r="B207" i="30"/>
  <c r="G207" i="30" s="1"/>
  <c r="B234" i="30"/>
  <c r="G234" i="30" s="1"/>
  <c r="B86" i="30"/>
  <c r="G86" i="30" s="1"/>
  <c r="B183" i="30"/>
  <c r="G183" i="30" s="1"/>
  <c r="B247" i="30"/>
  <c r="G247" i="30" s="1"/>
  <c r="B87" i="30"/>
  <c r="G87" i="30" s="1"/>
  <c r="B142" i="30"/>
  <c r="G142" i="30" s="1"/>
  <c r="B222" i="30"/>
  <c r="G222" i="30" s="1"/>
  <c r="B259" i="30"/>
  <c r="G259" i="30" s="1"/>
  <c r="B73" i="30"/>
  <c r="B32" i="30"/>
  <c r="B59" i="30"/>
  <c r="G59" i="30" s="1"/>
  <c r="B147" i="30"/>
  <c r="G147" i="30" s="1"/>
  <c r="B150" i="30"/>
  <c r="G150" i="30" s="1"/>
  <c r="B40" i="30"/>
  <c r="G40" i="30" s="1"/>
  <c r="B144" i="30"/>
  <c r="G144" i="30" s="1"/>
  <c r="B256" i="30"/>
  <c r="G256" i="30" s="1"/>
  <c r="B129" i="30"/>
  <c r="G129" i="30" s="1"/>
  <c r="B177" i="30"/>
  <c r="G177" i="30" s="1"/>
  <c r="B157" i="30"/>
  <c r="G157" i="30" s="1"/>
  <c r="B149" i="30"/>
  <c r="G149" i="30" s="1"/>
  <c r="B37" i="30"/>
  <c r="G37" i="30" s="1"/>
  <c r="B202" i="30"/>
  <c r="G202" i="30" s="1"/>
  <c r="B231" i="30"/>
  <c r="G231" i="30" s="1"/>
  <c r="B254" i="30"/>
  <c r="G254" i="30" s="1"/>
  <c r="B72" i="30"/>
  <c r="B68" i="30"/>
  <c r="G68" i="30" s="1"/>
  <c r="B70" i="30"/>
  <c r="G70" i="30" s="1"/>
  <c r="B80" i="30"/>
  <c r="G80" i="30" s="1"/>
  <c r="B176" i="30"/>
  <c r="G176" i="30" s="1"/>
  <c r="B45" i="30"/>
  <c r="G45" i="30" s="1"/>
  <c r="B209" i="30"/>
  <c r="G209" i="30" s="1"/>
  <c r="B215" i="30"/>
  <c r="B69" i="30"/>
  <c r="G69" i="30" s="1"/>
  <c r="B90" i="30"/>
  <c r="G90" i="30" s="1"/>
  <c r="B223" i="30"/>
  <c r="G223" i="30" s="1"/>
  <c r="B47" i="30"/>
  <c r="G47" i="30" s="1"/>
  <c r="B66" i="30"/>
  <c r="B227" i="30"/>
  <c r="G227" i="30" s="1"/>
  <c r="B96" i="30"/>
  <c r="B208" i="30"/>
  <c r="G208" i="30" s="1"/>
  <c r="B85" i="30"/>
  <c r="G85" i="30" s="1"/>
  <c r="B91" i="30"/>
  <c r="G91" i="30" s="1"/>
  <c r="B251" i="30"/>
  <c r="G251" i="30" s="1"/>
  <c r="B135" i="30"/>
  <c r="B71" i="30"/>
  <c r="G71" i="30" s="1"/>
  <c r="B232" i="30"/>
  <c r="G232" i="30" s="1"/>
  <c r="B46" i="30"/>
  <c r="G46" i="30" s="1"/>
  <c r="B168" i="30"/>
  <c r="B167" i="30"/>
  <c r="B240" i="30"/>
  <c r="B118" i="30"/>
  <c r="G118" i="30" s="1"/>
  <c r="B186" i="30"/>
  <c r="G186" i="30" s="1"/>
  <c r="B194" i="30"/>
  <c r="G194" i="30" s="1"/>
  <c r="B63" i="30"/>
  <c r="B62" i="30"/>
  <c r="B243" i="30"/>
  <c r="B239" i="30"/>
  <c r="B120" i="30"/>
  <c r="G120" i="30" s="1"/>
  <c r="B173" i="30"/>
  <c r="G173" i="30" s="1"/>
  <c r="B94" i="30"/>
  <c r="B101" i="30"/>
  <c r="G101" i="30" s="1"/>
  <c r="B127" i="30"/>
  <c r="G127" i="30" s="1"/>
  <c r="B224" i="30"/>
  <c r="G224" i="30" s="1"/>
  <c r="B128" i="30"/>
  <c r="G128" i="30" s="1"/>
  <c r="B130" i="30"/>
  <c r="G130" i="30" s="1"/>
  <c r="B211" i="30"/>
  <c r="B217" i="30"/>
  <c r="B226" i="30"/>
  <c r="G226" i="30" s="1"/>
  <c r="B55" i="30"/>
  <c r="G55" i="30" s="1"/>
  <c r="B67" i="30"/>
  <c r="G67" i="30" s="1"/>
  <c r="B161" i="30"/>
  <c r="B246" i="30"/>
  <c r="B184" i="30"/>
  <c r="G184" i="30" s="1"/>
  <c r="B195" i="30"/>
  <c r="G195" i="30" s="1"/>
  <c r="B107" i="30"/>
  <c r="G107" i="30" s="1"/>
  <c r="B108" i="30"/>
  <c r="G108" i="30" s="1"/>
  <c r="B196" i="30"/>
  <c r="G196" i="30" s="1"/>
  <c r="B244" i="30"/>
  <c r="B241" i="30"/>
  <c r="B169" i="30"/>
  <c r="B109" i="30"/>
  <c r="G109" i="30" s="1"/>
  <c r="B185" i="30"/>
  <c r="G185" i="30" s="1"/>
  <c r="B113" i="30"/>
  <c r="G113" i="30" s="1"/>
  <c r="B166" i="30"/>
  <c r="B115" i="30"/>
  <c r="G115" i="30" s="1"/>
  <c r="B112" i="30"/>
  <c r="G112" i="30" s="1"/>
  <c r="B193" i="30"/>
  <c r="G193" i="30" s="1"/>
  <c r="B190" i="30"/>
  <c r="G190" i="30" s="1"/>
  <c r="B119" i="30"/>
  <c r="G119" i="30" s="1"/>
  <c r="B116" i="30"/>
  <c r="G116" i="30" s="1"/>
  <c r="B162" i="30"/>
  <c r="B188" i="30"/>
  <c r="G188" i="30" s="1"/>
  <c r="B189" i="30"/>
  <c r="G189" i="30" s="1"/>
  <c r="B111" i="30"/>
  <c r="G111" i="30" s="1"/>
  <c r="B114" i="30"/>
  <c r="G114" i="30" s="1"/>
  <c r="B159" i="30"/>
  <c r="G159" i="30" s="1"/>
  <c r="B163" i="30"/>
  <c r="B164" i="30"/>
  <c r="B117" i="30"/>
  <c r="G117" i="30" s="1"/>
  <c r="B187" i="30"/>
  <c r="G187" i="30" s="1"/>
  <c r="B191" i="30"/>
  <c r="G191" i="30" s="1"/>
  <c r="B139" i="30"/>
  <c r="B192" i="30"/>
  <c r="G192" i="30" s="1"/>
  <c r="B245" i="30"/>
  <c r="B238" i="30"/>
  <c r="B165" i="30"/>
  <c r="B197" i="30"/>
  <c r="G197" i="30" s="1"/>
  <c r="B110" i="30"/>
  <c r="G110" i="30" s="1"/>
  <c r="B242" i="30"/>
  <c r="F46" i="14"/>
  <c r="H10" i="14"/>
  <c r="G46" i="14"/>
  <c r="D46" i="14"/>
  <c r="E46" i="14"/>
  <c r="C46" i="14"/>
  <c r="H46" i="14"/>
  <c r="B5" i="9"/>
  <c r="G15" i="29"/>
  <c r="F15" i="29"/>
  <c r="E15" i="29"/>
  <c r="D15" i="29"/>
  <c r="H14" i="29"/>
  <c r="H15" i="29" s="1"/>
  <c r="H63" i="9" l="1"/>
  <c r="G63" i="30"/>
  <c r="G242" i="30"/>
  <c r="G96" i="30"/>
  <c r="G72" i="30"/>
  <c r="G73" i="30"/>
  <c r="G64" i="30"/>
  <c r="G92" i="30"/>
  <c r="G60" i="30"/>
  <c r="G165" i="30"/>
  <c r="G238" i="30"/>
  <c r="G164" i="30"/>
  <c r="H237" i="30"/>
  <c r="G166" i="30"/>
  <c r="G218" i="30"/>
  <c r="G95" i="30"/>
  <c r="G214" i="30"/>
  <c r="G162" i="30"/>
  <c r="G217" i="30"/>
  <c r="G94" i="30"/>
  <c r="G76" i="30"/>
  <c r="G137" i="30"/>
  <c r="G215" i="30"/>
  <c r="G211" i="30"/>
  <c r="G135" i="30"/>
  <c r="G66" i="30"/>
  <c r="G138" i="30"/>
  <c r="G134" i="30"/>
  <c r="G136" i="30"/>
  <c r="G99" i="30"/>
  <c r="G212" i="30"/>
  <c r="G245" i="30"/>
  <c r="G163" i="30"/>
  <c r="G240" i="30"/>
  <c r="G98" i="30"/>
  <c r="G61" i="30"/>
  <c r="G93" i="30"/>
  <c r="G77" i="30"/>
  <c r="G216" i="30"/>
  <c r="G169" i="30"/>
  <c r="G246" i="30"/>
  <c r="G239" i="30"/>
  <c r="G167" i="30"/>
  <c r="G210" i="30"/>
  <c r="G133" i="30"/>
  <c r="G75" i="30"/>
  <c r="G241" i="30"/>
  <c r="G161" i="30"/>
  <c r="G243" i="30"/>
  <c r="G168" i="30"/>
  <c r="G140" i="30"/>
  <c r="G74" i="30"/>
  <c r="G213" i="30"/>
  <c r="G139" i="30"/>
  <c r="G244" i="30"/>
  <c r="G62" i="30"/>
  <c r="G32" i="30"/>
  <c r="G65" i="30"/>
  <c r="G97" i="30"/>
  <c r="G141" i="30"/>
  <c r="G65" i="13"/>
  <c r="H65" i="13" s="1"/>
  <c r="G94" i="13"/>
  <c r="H94" i="13" s="1"/>
  <c r="G67" i="13"/>
  <c r="H67" i="13" s="1"/>
  <c r="G93" i="13"/>
  <c r="H93" i="13" s="1"/>
  <c r="G150" i="13"/>
  <c r="H150" i="13" s="1"/>
  <c r="G85" i="13"/>
  <c r="H85" i="13" s="1"/>
  <c r="G53" i="13"/>
  <c r="H53" i="13" s="1"/>
  <c r="G60" i="13"/>
  <c r="H60" i="13" s="1"/>
  <c r="G126" i="13"/>
  <c r="H126" i="13" s="1"/>
  <c r="G57" i="13"/>
  <c r="H57" i="13" s="1"/>
  <c r="G58" i="13"/>
  <c r="H58" i="13" s="1"/>
  <c r="G56" i="13"/>
  <c r="H56" i="13" s="1"/>
  <c r="G32" i="13"/>
  <c r="H32" i="13" s="1"/>
  <c r="G54" i="13"/>
  <c r="H54" i="13" s="1"/>
  <c r="G130" i="13"/>
  <c r="H130" i="13" s="1"/>
  <c r="G148" i="13"/>
  <c r="H148" i="13" s="1"/>
  <c r="G33" i="13"/>
  <c r="H33" i="13" s="1"/>
  <c r="G87" i="13"/>
  <c r="H87" i="13" s="1"/>
  <c r="G86" i="13"/>
  <c r="H86" i="13" s="1"/>
  <c r="G55" i="13"/>
  <c r="H55" i="13" s="1"/>
  <c r="G127" i="13"/>
  <c r="H127" i="13" s="1"/>
  <c r="G92" i="13"/>
  <c r="H92" i="13" s="1"/>
  <c r="G149" i="13"/>
  <c r="H149" i="13" s="1"/>
  <c r="G124" i="13"/>
  <c r="H124" i="13" s="1"/>
  <c r="G90" i="13"/>
  <c r="H90" i="13" s="1"/>
  <c r="G125" i="13"/>
  <c r="H125" i="13" s="1"/>
  <c r="G91" i="13"/>
  <c r="H91" i="13" s="1"/>
  <c r="G66" i="13"/>
  <c r="H66" i="13" s="1"/>
  <c r="G128" i="13"/>
  <c r="H128" i="13" s="1"/>
  <c r="G129" i="13"/>
  <c r="H129" i="13" s="1"/>
  <c r="G84" i="13"/>
  <c r="H84" i="13" s="1"/>
  <c r="G68" i="13"/>
  <c r="H68" i="13" s="1"/>
  <c r="G59" i="13"/>
  <c r="H59" i="13" s="1"/>
  <c r="G95" i="13"/>
  <c r="H95" i="13" s="1"/>
  <c r="G69" i="13"/>
  <c r="H69" i="13" s="1"/>
  <c r="G96" i="13"/>
  <c r="H96" i="13" s="1"/>
  <c r="G89" i="13"/>
  <c r="H89" i="13" s="1"/>
  <c r="G34" i="13"/>
  <c r="H34" i="13" s="1"/>
  <c r="G88" i="13"/>
  <c r="H88" i="13" s="1"/>
  <c r="I12" i="30"/>
  <c r="Q16" i="17"/>
  <c r="O16" i="17"/>
  <c r="H16" i="29" s="1"/>
  <c r="K16" i="17"/>
  <c r="H16" i="9" s="1"/>
  <c r="Q15" i="17"/>
  <c r="O15" i="17"/>
  <c r="G16" i="29" s="1"/>
  <c r="M16" i="17"/>
  <c r="K15" i="17"/>
  <c r="G16" i="9" s="1"/>
  <c r="M15" i="17"/>
  <c r="H166" i="9"/>
  <c r="H167" i="9"/>
  <c r="H176" i="29"/>
  <c r="H162" i="9"/>
  <c r="H177" i="29"/>
  <c r="H164" i="9"/>
  <c r="H173" i="29"/>
  <c r="H174" i="29"/>
  <c r="H165" i="9"/>
  <c r="H175" i="29"/>
  <c r="H163" i="9"/>
  <c r="H159" i="9"/>
  <c r="H166" i="29"/>
  <c r="H160" i="9"/>
  <c r="H168" i="29"/>
  <c r="H161" i="9"/>
  <c r="H171" i="29"/>
  <c r="H165" i="29"/>
  <c r="H155" i="9"/>
  <c r="H164" i="29"/>
  <c r="H169" i="29"/>
  <c r="H156" i="9"/>
  <c r="H167" i="29"/>
  <c r="H158" i="9"/>
  <c r="H157" i="9"/>
  <c r="H172" i="29"/>
  <c r="H170" i="29"/>
  <c r="H181" i="9"/>
  <c r="H192" i="29"/>
  <c r="H193" i="29"/>
  <c r="H197" i="29"/>
  <c r="H194" i="29"/>
  <c r="H196" i="29"/>
  <c r="H200" i="29"/>
  <c r="H199" i="29"/>
  <c r="H180" i="9"/>
  <c r="H198" i="29"/>
  <c r="H195" i="29"/>
  <c r="H179" i="9"/>
  <c r="H121" i="9"/>
  <c r="H128" i="29"/>
  <c r="H122" i="9"/>
  <c r="H124" i="29"/>
  <c r="H130" i="29"/>
  <c r="H115" i="9"/>
  <c r="H123" i="9"/>
  <c r="H120" i="9"/>
  <c r="H116" i="9"/>
  <c r="H124" i="9"/>
  <c r="H129" i="29"/>
  <c r="H126" i="29"/>
  <c r="H123" i="29"/>
  <c r="H117" i="9"/>
  <c r="H125" i="9"/>
  <c r="H125" i="29"/>
  <c r="H118" i="9"/>
  <c r="H126" i="9"/>
  <c r="H127" i="29"/>
  <c r="H119" i="9"/>
  <c r="H127" i="9"/>
  <c r="H103" i="29"/>
  <c r="H97" i="9"/>
  <c r="H107" i="29"/>
  <c r="H98" i="9"/>
  <c r="H108" i="29"/>
  <c r="H96" i="9"/>
  <c r="H104" i="29"/>
  <c r="H99" i="9"/>
  <c r="H105" i="29"/>
  <c r="H100" i="9"/>
  <c r="H106" i="29"/>
  <c r="H88" i="9"/>
  <c r="H91" i="29"/>
  <c r="H97" i="29"/>
  <c r="H84" i="9"/>
  <c r="H85" i="9"/>
  <c r="H89" i="9"/>
  <c r="H93" i="29"/>
  <c r="H86" i="9"/>
  <c r="H92" i="29"/>
  <c r="H90" i="9"/>
  <c r="H87" i="9"/>
  <c r="H94" i="29"/>
  <c r="H96" i="29"/>
  <c r="H91" i="9"/>
  <c r="H95" i="29"/>
  <c r="J158" i="30"/>
  <c r="H158" i="30" s="1"/>
  <c r="H65" i="9"/>
  <c r="H63" i="29"/>
  <c r="H64" i="9"/>
  <c r="J210" i="30"/>
  <c r="J193" i="30"/>
  <c r="H193" i="30" s="1"/>
  <c r="J200" i="30"/>
  <c r="H200" i="30" s="1"/>
  <c r="J44" i="30"/>
  <c r="H44" i="30" s="1"/>
  <c r="J84" i="30"/>
  <c r="H84" i="30" s="1"/>
  <c r="J151" i="30"/>
  <c r="H151" i="30" s="1"/>
  <c r="J80" i="30"/>
  <c r="H80" i="30" s="1"/>
  <c r="J122" i="30"/>
  <c r="H122" i="30" s="1"/>
  <c r="J127" i="30"/>
  <c r="H127" i="30" s="1"/>
  <c r="J253" i="30"/>
  <c r="H253" i="30" s="1"/>
  <c r="J126" i="30"/>
  <c r="H126" i="30" s="1"/>
  <c r="J176" i="30"/>
  <c r="H176" i="30" s="1"/>
  <c r="J108" i="30"/>
  <c r="H108" i="30" s="1"/>
  <c r="J61" i="30"/>
  <c r="J247" i="30"/>
  <c r="H247" i="30" s="1"/>
  <c r="J92" i="30"/>
  <c r="J159" i="30"/>
  <c r="H159" i="30" s="1"/>
  <c r="J143" i="30"/>
  <c r="H143" i="30" s="1"/>
  <c r="J53" i="30"/>
  <c r="H53" i="30" s="1"/>
  <c r="J226" i="30"/>
  <c r="H226" i="30" s="1"/>
  <c r="J42" i="30"/>
  <c r="H42" i="30" s="1"/>
  <c r="J116" i="30"/>
  <c r="H116" i="30" s="1"/>
  <c r="J225" i="30"/>
  <c r="H225" i="30" s="1"/>
  <c r="J50" i="30"/>
  <c r="H50" i="30" s="1"/>
  <c r="J154" i="30"/>
  <c r="H154" i="30" s="1"/>
  <c r="J140" i="30"/>
  <c r="J131" i="30"/>
  <c r="H131" i="30" s="1"/>
  <c r="J119" i="30"/>
  <c r="H119" i="30" s="1"/>
  <c r="J238" i="30"/>
  <c r="J208" i="30"/>
  <c r="H208" i="30" s="1"/>
  <c r="J230" i="30"/>
  <c r="H230" i="30" s="1"/>
  <c r="J250" i="30"/>
  <c r="H250" i="30" s="1"/>
  <c r="J252" i="30"/>
  <c r="H252" i="30" s="1"/>
  <c r="J145" i="30"/>
  <c r="H145" i="30" s="1"/>
  <c r="J34" i="30"/>
  <c r="H34" i="30" s="1"/>
  <c r="J168" i="30"/>
  <c r="J173" i="30"/>
  <c r="H173" i="30" s="1"/>
  <c r="J95" i="30"/>
  <c r="J135" i="30"/>
  <c r="J68" i="30"/>
  <c r="H68" i="30" s="1"/>
  <c r="J197" i="30"/>
  <c r="H197" i="30" s="1"/>
  <c r="J55" i="30"/>
  <c r="H55" i="30" s="1"/>
  <c r="J115" i="30"/>
  <c r="H115" i="30" s="1"/>
  <c r="J117" i="30"/>
  <c r="H117" i="30" s="1"/>
  <c r="J98" i="30"/>
  <c r="J134" i="30"/>
  <c r="J79" i="30"/>
  <c r="H79" i="30" s="1"/>
  <c r="J58" i="30"/>
  <c r="H58" i="30" s="1"/>
  <c r="J171" i="30"/>
  <c r="H171" i="30" s="1"/>
  <c r="J259" i="30"/>
  <c r="H259" i="30" s="1"/>
  <c r="J97" i="30"/>
  <c r="J36" i="30"/>
  <c r="H36" i="30" s="1"/>
  <c r="J229" i="30"/>
  <c r="H229" i="30" s="1"/>
  <c r="J90" i="30"/>
  <c r="H90" i="30" s="1"/>
  <c r="J152" i="30"/>
  <c r="H152" i="30" s="1"/>
  <c r="J234" i="30"/>
  <c r="H234" i="30" s="1"/>
  <c r="J258" i="30"/>
  <c r="H258" i="30" s="1"/>
  <c r="J224" i="30"/>
  <c r="H224" i="30" s="1"/>
  <c r="J89" i="30"/>
  <c r="H89" i="30" s="1"/>
  <c r="J136" i="30"/>
  <c r="J205" i="30"/>
  <c r="H205" i="30" s="1"/>
  <c r="J231" i="30"/>
  <c r="H231" i="30" s="1"/>
  <c r="J69" i="30"/>
  <c r="H69" i="30" s="1"/>
  <c r="J78" i="30"/>
  <c r="H78" i="30" s="1"/>
  <c r="J196" i="30"/>
  <c r="H196" i="30" s="1"/>
  <c r="J217" i="30"/>
  <c r="J165" i="30"/>
  <c r="J33" i="30"/>
  <c r="H33" i="30" s="1"/>
  <c r="J129" i="30"/>
  <c r="H129" i="30" s="1"/>
  <c r="J244" i="30"/>
  <c r="J185" i="30"/>
  <c r="H185" i="30" s="1"/>
  <c r="J52" i="30"/>
  <c r="H52" i="30" s="1"/>
  <c r="J111" i="30"/>
  <c r="H111" i="30" s="1"/>
  <c r="J94" i="30"/>
  <c r="J109" i="30"/>
  <c r="H109" i="30" s="1"/>
  <c r="J99" i="30"/>
  <c r="J139" i="30"/>
  <c r="J73" i="30"/>
  <c r="J45" i="30"/>
  <c r="H45" i="30" s="1"/>
  <c r="J96" i="30"/>
  <c r="J74" i="30"/>
  <c r="J209" i="30"/>
  <c r="H209" i="30" s="1"/>
  <c r="J177" i="30"/>
  <c r="H177" i="30" s="1"/>
  <c r="J41" i="30"/>
  <c r="H41" i="30" s="1"/>
  <c r="J105" i="30"/>
  <c r="H105" i="30" s="1"/>
  <c r="J59" i="30"/>
  <c r="H59" i="30" s="1"/>
  <c r="J85" i="30"/>
  <c r="H85" i="30" s="1"/>
  <c r="J148" i="30"/>
  <c r="H148" i="30" s="1"/>
  <c r="J233" i="30"/>
  <c r="H233" i="30" s="1"/>
  <c r="J181" i="30"/>
  <c r="H181" i="30" s="1"/>
  <c r="J203" i="30"/>
  <c r="H203" i="30" s="1"/>
  <c r="J186" i="30"/>
  <c r="H186" i="30" s="1"/>
  <c r="J163" i="30"/>
  <c r="J77" i="30"/>
  <c r="J235" i="30"/>
  <c r="H235" i="30" s="1"/>
  <c r="J218" i="30"/>
  <c r="G30" i="17" a="1"/>
  <c r="G30" i="17" s="1"/>
  <c r="J189" i="30"/>
  <c r="H189" i="30" s="1"/>
  <c r="J169" i="30"/>
  <c r="J71" i="30"/>
  <c r="H71" i="30" s="1"/>
  <c r="J248" i="30"/>
  <c r="H248" i="30" s="1"/>
  <c r="J191" i="30"/>
  <c r="H191" i="30" s="1"/>
  <c r="J112" i="30"/>
  <c r="H112" i="30" s="1"/>
  <c r="J118" i="30"/>
  <c r="H118" i="30" s="1"/>
  <c r="J239" i="30"/>
  <c r="J130" i="30"/>
  <c r="H130" i="30" s="1"/>
  <c r="J214" i="30"/>
  <c r="J65" i="30"/>
  <c r="J156" i="30"/>
  <c r="H156" i="30" s="1"/>
  <c r="J54" i="30"/>
  <c r="H54" i="30" s="1"/>
  <c r="J146" i="30"/>
  <c r="H146" i="30" s="1"/>
  <c r="J124" i="30"/>
  <c r="H124" i="30" s="1"/>
  <c r="J223" i="30"/>
  <c r="H223" i="30" s="1"/>
  <c r="J43" i="30"/>
  <c r="H43" i="30" s="1"/>
  <c r="J101" i="30"/>
  <c r="H101" i="30" s="1"/>
  <c r="J72" i="30"/>
  <c r="J86" i="30"/>
  <c r="H86" i="30" s="1"/>
  <c r="J147" i="30"/>
  <c r="H147" i="30" s="1"/>
  <c r="J201" i="30"/>
  <c r="H201" i="30" s="1"/>
  <c r="J174" i="30"/>
  <c r="H174" i="30" s="1"/>
  <c r="J40" i="30"/>
  <c r="H40" i="30" s="1"/>
  <c r="J106" i="30"/>
  <c r="H106" i="30" s="1"/>
  <c r="J204" i="30"/>
  <c r="H204" i="30" s="1"/>
  <c r="J155" i="30"/>
  <c r="H155" i="30" s="1"/>
  <c r="J254" i="30"/>
  <c r="H254" i="30" s="1"/>
  <c r="J179" i="30"/>
  <c r="H179" i="30" s="1"/>
  <c r="J56" i="30"/>
  <c r="H56" i="30" s="1"/>
  <c r="J104" i="30"/>
  <c r="H104" i="30" s="1"/>
  <c r="J221" i="30"/>
  <c r="H221" i="30" s="1"/>
  <c r="J202" i="30"/>
  <c r="H202" i="30" s="1"/>
  <c r="J128" i="30"/>
  <c r="H128" i="30" s="1"/>
  <c r="J113" i="30"/>
  <c r="H113" i="30" s="1"/>
  <c r="J187" i="30"/>
  <c r="H187" i="30" s="1"/>
  <c r="J245" i="30"/>
  <c r="J183" i="30"/>
  <c r="H183" i="30" s="1"/>
  <c r="J107" i="30"/>
  <c r="H107" i="30" s="1"/>
  <c r="J199" i="30"/>
  <c r="H199" i="30" s="1"/>
  <c r="J35" i="30"/>
  <c r="H35" i="30" s="1"/>
  <c r="J125" i="30"/>
  <c r="H125" i="30" s="1"/>
  <c r="J215" i="30"/>
  <c r="J102" i="30"/>
  <c r="H102" i="30" s="1"/>
  <c r="J87" i="30"/>
  <c r="H87" i="30" s="1"/>
  <c r="J206" i="30"/>
  <c r="H206" i="30" s="1"/>
  <c r="J81" i="30"/>
  <c r="H81" i="30" s="1"/>
  <c r="J121" i="30"/>
  <c r="H121" i="30" s="1"/>
  <c r="J144" i="30"/>
  <c r="H144" i="30" s="1"/>
  <c r="J256" i="30"/>
  <c r="H256" i="30" s="1"/>
  <c r="J38" i="30"/>
  <c r="H38" i="30" s="1"/>
  <c r="J66" i="30"/>
  <c r="J170" i="30"/>
  <c r="H170" i="30" s="1"/>
  <c r="J249" i="30"/>
  <c r="H249" i="30" s="1"/>
  <c r="J150" i="30"/>
  <c r="H150" i="30" s="1"/>
  <c r="J166" i="30"/>
  <c r="J75" i="30"/>
  <c r="J100" i="30"/>
  <c r="H100" i="30" s="1"/>
  <c r="J114" i="30"/>
  <c r="H114" i="30" s="1"/>
  <c r="J167" i="30"/>
  <c r="J70" i="30"/>
  <c r="H70" i="30" s="1"/>
  <c r="J162" i="30"/>
  <c r="J120" i="30"/>
  <c r="H120" i="30" s="1"/>
  <c r="J243" i="30"/>
  <c r="J195" i="30"/>
  <c r="H195" i="30" s="1"/>
  <c r="J103" i="30"/>
  <c r="H103" i="30" s="1"/>
  <c r="J228" i="30"/>
  <c r="H228" i="30" s="1"/>
  <c r="J161" i="30"/>
  <c r="J110" i="30"/>
  <c r="H110" i="30" s="1"/>
  <c r="J220" i="30"/>
  <c r="H220" i="30" s="1"/>
  <c r="J242" i="30"/>
  <c r="J192" i="30"/>
  <c r="H192" i="30" s="1"/>
  <c r="J123" i="30"/>
  <c r="H123" i="30" s="1"/>
  <c r="J76" i="30"/>
  <c r="J153" i="30"/>
  <c r="H153" i="30" s="1"/>
  <c r="J178" i="30"/>
  <c r="H178" i="30" s="1"/>
  <c r="J88" i="30"/>
  <c r="H88" i="30" s="1"/>
  <c r="J213" i="30"/>
  <c r="J133" i="30"/>
  <c r="J83" i="30"/>
  <c r="H83" i="30" s="1"/>
  <c r="J211" i="30"/>
  <c r="J251" i="30"/>
  <c r="H251" i="30" s="1"/>
  <c r="J51" i="30"/>
  <c r="H51" i="30" s="1"/>
  <c r="J37" i="30"/>
  <c r="H37" i="30" s="1"/>
  <c r="J172" i="30"/>
  <c r="H172" i="30" s="1"/>
  <c r="J180" i="30"/>
  <c r="H180" i="30" s="1"/>
  <c r="J236" i="30"/>
  <c r="H236" i="30" s="1"/>
  <c r="J222" i="30"/>
  <c r="H222" i="30" s="1"/>
  <c r="J175" i="30"/>
  <c r="H175" i="30" s="1"/>
  <c r="J64" i="30"/>
  <c r="J257" i="30"/>
  <c r="H257" i="30" s="1"/>
  <c r="J216" i="30"/>
  <c r="J62" i="30"/>
  <c r="J46" i="30"/>
  <c r="H46" i="30" s="1"/>
  <c r="J246" i="30"/>
  <c r="J39" i="30"/>
  <c r="H39" i="30" s="1"/>
  <c r="J91" i="30"/>
  <c r="H91" i="30" s="1"/>
  <c r="J67" i="30"/>
  <c r="H67" i="30" s="1"/>
  <c r="J164" i="30"/>
  <c r="J240" i="30"/>
  <c r="J49" i="30"/>
  <c r="H49" i="30" s="1"/>
  <c r="J207" i="30"/>
  <c r="H207" i="30" s="1"/>
  <c r="J194" i="30"/>
  <c r="H194" i="30" s="1"/>
  <c r="J48" i="30"/>
  <c r="H48" i="30" s="1"/>
  <c r="J184" i="30"/>
  <c r="H184" i="30" s="1"/>
  <c r="J63" i="30"/>
  <c r="J188" i="30"/>
  <c r="H188" i="30" s="1"/>
  <c r="J190" i="30"/>
  <c r="H190" i="30" s="1"/>
  <c r="J141" i="30"/>
  <c r="J149" i="30"/>
  <c r="H149" i="30" s="1"/>
  <c r="J241" i="30"/>
  <c r="J82" i="30"/>
  <c r="H82" i="30" s="1"/>
  <c r="J57" i="30"/>
  <c r="H57" i="30" s="1"/>
  <c r="J255" i="30"/>
  <c r="H255" i="30" s="1"/>
  <c r="J60" i="30"/>
  <c r="J93" i="30"/>
  <c r="J138" i="30"/>
  <c r="J47" i="30"/>
  <c r="H47" i="30" s="1"/>
  <c r="J137" i="30"/>
  <c r="J132" i="30"/>
  <c r="H132" i="30" s="1"/>
  <c r="J212" i="30"/>
  <c r="J160" i="30"/>
  <c r="H160" i="30" s="1"/>
  <c r="J219" i="30"/>
  <c r="H219" i="30" s="1"/>
  <c r="J182" i="30"/>
  <c r="H182" i="30" s="1"/>
  <c r="J232" i="30"/>
  <c r="H232" i="30" s="1"/>
  <c r="Q14" i="17"/>
  <c r="O14" i="17"/>
  <c r="F16" i="29" s="1"/>
  <c r="Q13" i="17"/>
  <c r="O13" i="17"/>
  <c r="E16" i="29" s="1"/>
  <c r="M12" i="17"/>
  <c r="O12" i="17"/>
  <c r="D16" i="29" s="1"/>
  <c r="J157" i="30"/>
  <c r="H157" i="30" s="1"/>
  <c r="M13" i="17"/>
  <c r="J227" i="30"/>
  <c r="H227" i="30" s="1"/>
  <c r="J142" i="30"/>
  <c r="H142" i="30" s="1"/>
  <c r="J198" i="30"/>
  <c r="H198" i="30" s="1"/>
  <c r="J260" i="30"/>
  <c r="H260" i="30" s="1"/>
  <c r="K13" i="17"/>
  <c r="E16" i="9" s="1"/>
  <c r="K12" i="17"/>
  <c r="D16" i="9" s="1"/>
  <c r="G29" i="17" a="1"/>
  <c r="G29" i="17" s="1"/>
  <c r="D12" i="9" s="1"/>
  <c r="K14" i="17"/>
  <c r="F16" i="9" s="1"/>
  <c r="M14" i="17"/>
  <c r="Q12" i="17"/>
  <c r="E22" i="17"/>
  <c r="D8" i="14"/>
  <c r="C8" i="14"/>
  <c r="H15" i="9"/>
  <c r="G15" i="9"/>
  <c r="E15" i="9"/>
  <c r="F15" i="9"/>
  <c r="D15" i="9"/>
  <c r="H32" i="30" l="1"/>
  <c r="H63" i="30"/>
  <c r="H95" i="30"/>
  <c r="H60" i="30"/>
  <c r="H242" i="30"/>
  <c r="H165" i="30"/>
  <c r="H164" i="30"/>
  <c r="H72" i="30"/>
  <c r="H73" i="30"/>
  <c r="H92" i="30"/>
  <c r="H96" i="30"/>
  <c r="H238" i="30"/>
  <c r="H62" i="30"/>
  <c r="H64" i="30"/>
  <c r="H169" i="30"/>
  <c r="H244" i="30"/>
  <c r="H241" i="30"/>
  <c r="H216" i="30"/>
  <c r="H212" i="30"/>
  <c r="H215" i="30"/>
  <c r="H218" i="30"/>
  <c r="H211" i="30"/>
  <c r="H139" i="30"/>
  <c r="H75" i="30"/>
  <c r="H77" i="30"/>
  <c r="H99" i="30"/>
  <c r="H137" i="30"/>
  <c r="H166" i="30"/>
  <c r="H245" i="30"/>
  <c r="H213" i="30"/>
  <c r="H133" i="30"/>
  <c r="H93" i="30"/>
  <c r="H136" i="30"/>
  <c r="H76" i="30"/>
  <c r="H161" i="30"/>
  <c r="H141" i="30"/>
  <c r="H74" i="30"/>
  <c r="H210" i="30"/>
  <c r="H61" i="30"/>
  <c r="H134" i="30"/>
  <c r="H94" i="30"/>
  <c r="H97" i="30"/>
  <c r="H140" i="30"/>
  <c r="H167" i="30"/>
  <c r="H98" i="30"/>
  <c r="H138" i="30"/>
  <c r="H217" i="30"/>
  <c r="H65" i="30"/>
  <c r="H168" i="30"/>
  <c r="H239" i="30"/>
  <c r="H240" i="30"/>
  <c r="H66" i="30"/>
  <c r="H162" i="30"/>
  <c r="H243" i="30"/>
  <c r="H246" i="30"/>
  <c r="H163" i="30"/>
  <c r="H135" i="30"/>
  <c r="H214" i="30"/>
  <c r="P15" i="17"/>
  <c r="G17" i="29" s="1"/>
  <c r="R16" i="17"/>
  <c r="H18" i="29" s="1"/>
  <c r="R15" i="17"/>
  <c r="G18" i="29" s="1"/>
  <c r="N15" i="17"/>
  <c r="G18" i="9" s="1"/>
  <c r="N16" i="17"/>
  <c r="H18" i="9" s="1"/>
  <c r="P16" i="17"/>
  <c r="H17" i="29" s="1"/>
  <c r="H30" i="17"/>
  <c r="I30" i="17" s="1"/>
  <c r="D12" i="29"/>
  <c r="R13" i="17"/>
  <c r="E18" i="29" s="1"/>
  <c r="P12" i="17"/>
  <c r="N14" i="17"/>
  <c r="F18" i="9" s="1"/>
  <c r="P14" i="17"/>
  <c r="F17" i="29" s="1"/>
  <c r="P13" i="17"/>
  <c r="E17" i="29" s="1"/>
  <c r="R14" i="17"/>
  <c r="F18" i="29" s="1"/>
  <c r="R12" i="17"/>
  <c r="D18" i="29" s="1"/>
  <c r="L14" i="17"/>
  <c r="F17" i="9" s="1"/>
  <c r="L13" i="17"/>
  <c r="E17" i="9" s="1"/>
  <c r="L16" i="17"/>
  <c r="H17" i="9" s="1"/>
  <c r="H29" i="17"/>
  <c r="I29" i="17" s="1"/>
  <c r="L15" i="17"/>
  <c r="G17" i="9" s="1"/>
  <c r="N13" i="17"/>
  <c r="E18" i="9" s="1"/>
  <c r="N12" i="17"/>
  <c r="D18" i="9" s="1"/>
  <c r="L12" i="17"/>
  <c r="E24" i="14"/>
  <c r="D24" i="14"/>
  <c r="F24" i="14"/>
  <c r="C24" i="14"/>
  <c r="G24" i="14"/>
  <c r="I185" i="9"/>
  <c r="J185" i="9" s="1"/>
  <c r="I186" i="9"/>
  <c r="J186" i="9" s="1"/>
  <c r="I176" i="9"/>
  <c r="J176" i="9" s="1"/>
  <c r="I187" i="9"/>
  <c r="J187" i="9" s="1"/>
  <c r="I178" i="9"/>
  <c r="J178" i="9" s="1"/>
  <c r="I174" i="9"/>
  <c r="J174" i="9" s="1"/>
  <c r="I173" i="9"/>
  <c r="J173" i="9" s="1"/>
  <c r="I74" i="9"/>
  <c r="J74" i="9" s="1"/>
  <c r="I169" i="9"/>
  <c r="J169" i="9" s="1"/>
  <c r="I112" i="9"/>
  <c r="J112" i="9" s="1"/>
  <c r="I129" i="9"/>
  <c r="J129" i="9" s="1"/>
  <c r="I104" i="9"/>
  <c r="J104" i="9" s="1"/>
  <c r="I141" i="9"/>
  <c r="J141" i="9" s="1"/>
  <c r="I78" i="9"/>
  <c r="J78" i="9" s="1"/>
  <c r="I184" i="9"/>
  <c r="J184" i="9" s="1"/>
  <c r="I80" i="9"/>
  <c r="J80" i="9" s="1"/>
  <c r="I102" i="9"/>
  <c r="J102" i="9" s="1"/>
  <c r="I143" i="9"/>
  <c r="J143" i="9" s="1"/>
  <c r="I138" i="9"/>
  <c r="J138" i="9" s="1"/>
  <c r="I105" i="9"/>
  <c r="J105" i="9" s="1"/>
  <c r="I139" i="9"/>
  <c r="J139" i="9" s="1"/>
  <c r="I133" i="9"/>
  <c r="J133" i="9" s="1"/>
  <c r="I152" i="9"/>
  <c r="J152" i="9" s="1"/>
  <c r="I109" i="9"/>
  <c r="J109" i="9" s="1"/>
  <c r="I154" i="9"/>
  <c r="J154" i="9" s="1"/>
  <c r="I69" i="9"/>
  <c r="J69" i="9" s="1"/>
  <c r="I75" i="9"/>
  <c r="J75" i="9" s="1"/>
  <c r="I144" i="9"/>
  <c r="J144" i="9" s="1"/>
  <c r="I168" i="9"/>
  <c r="J168" i="9" s="1"/>
  <c r="I135" i="9"/>
  <c r="J135" i="9" s="1"/>
  <c r="I92" i="9"/>
  <c r="J92" i="9" s="1"/>
  <c r="I183" i="9"/>
  <c r="J183" i="9" s="1"/>
  <c r="I101" i="9"/>
  <c r="J101" i="9" s="1"/>
  <c r="I146" i="9"/>
  <c r="J146" i="9" s="1"/>
  <c r="I190" i="9"/>
  <c r="J190" i="9" s="1"/>
  <c r="I147" i="9"/>
  <c r="J147" i="9" s="1"/>
  <c r="I172" i="9"/>
  <c r="J172" i="9" s="1"/>
  <c r="I94" i="9"/>
  <c r="J94" i="9" s="1"/>
  <c r="I103" i="9"/>
  <c r="J103" i="9" s="1"/>
  <c r="I81" i="9"/>
  <c r="J81" i="9" s="1"/>
  <c r="I107" i="9"/>
  <c r="J107" i="9" s="1"/>
  <c r="I83" i="9"/>
  <c r="J83" i="9" s="1"/>
  <c r="I132" i="9"/>
  <c r="J132" i="9" s="1"/>
  <c r="I137" i="9"/>
  <c r="J137" i="9" s="1"/>
  <c r="I72" i="9"/>
  <c r="J72" i="9" s="1"/>
  <c r="I108" i="9"/>
  <c r="J108" i="9" s="1"/>
  <c r="I79" i="9"/>
  <c r="J79" i="9" s="1"/>
  <c r="I71" i="9"/>
  <c r="J71" i="9" s="1"/>
  <c r="I76" i="9"/>
  <c r="J76" i="9" s="1"/>
  <c r="I188" i="9"/>
  <c r="J188" i="9" s="1"/>
  <c r="I189" i="9"/>
  <c r="J189" i="9" s="1"/>
  <c r="I170" i="9"/>
  <c r="J170" i="9" s="1"/>
  <c r="I95" i="9"/>
  <c r="J95" i="9" s="1"/>
  <c r="I175" i="9"/>
  <c r="J175" i="9" s="1"/>
  <c r="I110" i="9"/>
  <c r="J110" i="9" s="1"/>
  <c r="I128" i="9"/>
  <c r="J128" i="9" s="1"/>
  <c r="I140" i="9"/>
  <c r="J140" i="9" s="1"/>
  <c r="I82" i="9"/>
  <c r="J82" i="9" s="1"/>
  <c r="I131" i="9"/>
  <c r="J131" i="9" s="1"/>
  <c r="I130" i="9"/>
  <c r="J130" i="9" s="1"/>
  <c r="I114" i="9"/>
  <c r="J114" i="9" s="1"/>
  <c r="I153" i="9"/>
  <c r="J153" i="9" s="1"/>
  <c r="I68" i="9"/>
  <c r="J68" i="9" s="1"/>
  <c r="I70" i="9"/>
  <c r="J70" i="9" s="1"/>
  <c r="I77" i="9"/>
  <c r="J77" i="9" s="1"/>
  <c r="I145" i="9"/>
  <c r="J145" i="9" s="1"/>
  <c r="I111" i="9"/>
  <c r="J111" i="9" s="1"/>
  <c r="I177" i="9"/>
  <c r="J177" i="9" s="1"/>
  <c r="I66" i="9"/>
  <c r="J66" i="9" s="1"/>
  <c r="I113" i="9"/>
  <c r="J113" i="9" s="1"/>
  <c r="I149" i="9"/>
  <c r="J149" i="9" s="1"/>
  <c r="I93" i="9"/>
  <c r="J93" i="9" s="1"/>
  <c r="I142" i="9"/>
  <c r="J142" i="9" s="1"/>
  <c r="I106" i="9"/>
  <c r="J106" i="9" s="1"/>
  <c r="I150" i="9"/>
  <c r="J150" i="9" s="1"/>
  <c r="I151" i="9"/>
  <c r="J151" i="9" s="1"/>
  <c r="I136" i="9"/>
  <c r="J136" i="9" s="1"/>
  <c r="I67" i="9"/>
  <c r="J67" i="9" s="1"/>
  <c r="I182" i="9"/>
  <c r="J182" i="9" s="1"/>
  <c r="I134" i="9"/>
  <c r="J134" i="9" s="1"/>
  <c r="I171" i="9"/>
  <c r="J171" i="9" s="1"/>
  <c r="I148" i="9"/>
  <c r="J148" i="9" s="1"/>
  <c r="I73" i="9"/>
  <c r="J73" i="9" s="1"/>
  <c r="L30" i="17" l="1"/>
  <c r="D17" i="9"/>
  <c r="L29" i="17"/>
  <c r="I212" i="29"/>
  <c r="J212" i="29" s="1"/>
  <c r="I187" i="29"/>
  <c r="J187" i="29" s="1"/>
  <c r="I111" i="29"/>
  <c r="J111" i="29" s="1"/>
  <c r="I119" i="29"/>
  <c r="J119" i="29" s="1"/>
  <c r="I183" i="29"/>
  <c r="J183" i="29" s="1"/>
  <c r="I154" i="29"/>
  <c r="J154" i="29" s="1"/>
  <c r="I74" i="29"/>
  <c r="J74" i="29" s="1"/>
  <c r="I210" i="29"/>
  <c r="J210" i="29" s="1"/>
  <c r="I114" i="29"/>
  <c r="J114" i="29" s="1"/>
  <c r="I66" i="29"/>
  <c r="J66" i="29" s="1"/>
  <c r="I184" i="29"/>
  <c r="J184" i="29" s="1"/>
  <c r="I83" i="29"/>
  <c r="J83" i="29" s="1"/>
  <c r="I190" i="29"/>
  <c r="J190" i="29" s="1"/>
  <c r="I202" i="29"/>
  <c r="J202" i="29" s="1"/>
  <c r="I142" i="29"/>
  <c r="J142" i="29" s="1"/>
  <c r="I75" i="29"/>
  <c r="J75" i="29" s="1"/>
  <c r="I139" i="29"/>
  <c r="J139" i="29" s="1"/>
  <c r="I67" i="29"/>
  <c r="J67" i="29" s="1"/>
  <c r="I109" i="29"/>
  <c r="J109" i="29" s="1"/>
  <c r="I153" i="29"/>
  <c r="J153" i="29" s="1"/>
  <c r="I65" i="29"/>
  <c r="J65" i="29" s="1"/>
  <c r="I179" i="29"/>
  <c r="J179" i="29" s="1"/>
  <c r="I145" i="29"/>
  <c r="J145" i="29" s="1"/>
  <c r="I110" i="29"/>
  <c r="J110" i="29" s="1"/>
  <c r="I135" i="29"/>
  <c r="J135" i="29" s="1"/>
  <c r="I163" i="29"/>
  <c r="J163" i="29" s="1"/>
  <c r="I102" i="29"/>
  <c r="J102" i="29" s="1"/>
  <c r="I205" i="29"/>
  <c r="J205" i="29" s="1"/>
  <c r="I71" i="29"/>
  <c r="J71" i="29" s="1"/>
  <c r="I155" i="29"/>
  <c r="J155" i="29" s="1"/>
  <c r="I201" i="29"/>
  <c r="J201" i="29" s="1"/>
  <c r="I143" i="29"/>
  <c r="J143" i="29" s="1"/>
  <c r="I209" i="29"/>
  <c r="J209" i="29" s="1"/>
  <c r="I115" i="29"/>
  <c r="J115" i="29" s="1"/>
  <c r="I77" i="29"/>
  <c r="J77" i="29" s="1"/>
  <c r="I136" i="29"/>
  <c r="J136" i="29" s="1"/>
  <c r="I161" i="29"/>
  <c r="J161" i="29" s="1"/>
  <c r="I138" i="29"/>
  <c r="J138" i="29" s="1"/>
  <c r="I69" i="29"/>
  <c r="J69" i="29" s="1"/>
  <c r="I188" i="29"/>
  <c r="J188" i="29" s="1"/>
  <c r="I158" i="29"/>
  <c r="J158" i="29" s="1"/>
  <c r="I88" i="29"/>
  <c r="J88" i="29" s="1"/>
  <c r="I118" i="29"/>
  <c r="J118" i="29" s="1"/>
  <c r="I156" i="29"/>
  <c r="J156" i="29" s="1"/>
  <c r="I84" i="29"/>
  <c r="J84" i="29" s="1"/>
  <c r="I148" i="29"/>
  <c r="J148" i="29" s="1"/>
  <c r="I112" i="29"/>
  <c r="J112" i="29" s="1"/>
  <c r="I186" i="29"/>
  <c r="J186" i="29" s="1"/>
  <c r="I162" i="29"/>
  <c r="J162" i="29" s="1"/>
  <c r="I180" i="29"/>
  <c r="J180" i="29" s="1"/>
  <c r="I121" i="29"/>
  <c r="J121" i="29" s="1"/>
  <c r="I89" i="29"/>
  <c r="J89" i="29" s="1"/>
  <c r="I208" i="29"/>
  <c r="J208" i="29" s="1"/>
  <c r="I152" i="29"/>
  <c r="J152" i="29" s="1"/>
  <c r="I182" i="29"/>
  <c r="J182" i="29" s="1"/>
  <c r="I87" i="29"/>
  <c r="J87" i="29" s="1"/>
  <c r="I81" i="29"/>
  <c r="J81" i="29" s="1"/>
  <c r="I90" i="29"/>
  <c r="J90" i="29" s="1"/>
  <c r="I85" i="29"/>
  <c r="J85" i="29" s="1"/>
  <c r="I211" i="29"/>
  <c r="J211" i="29" s="1"/>
  <c r="I151" i="29"/>
  <c r="J151" i="29" s="1"/>
  <c r="I120" i="29"/>
  <c r="J120" i="29" s="1"/>
  <c r="I132" i="29"/>
  <c r="J132" i="29" s="1"/>
  <c r="I117" i="29"/>
  <c r="J117" i="29" s="1"/>
  <c r="I131" i="29"/>
  <c r="J131" i="29" s="1"/>
  <c r="I191" i="29"/>
  <c r="J191" i="29" s="1"/>
  <c r="I181" i="29"/>
  <c r="J181" i="29" s="1"/>
  <c r="I122" i="29"/>
  <c r="J122" i="29" s="1"/>
  <c r="I68" i="29"/>
  <c r="J68" i="29" s="1"/>
  <c r="I189" i="29"/>
  <c r="J189" i="29" s="1"/>
  <c r="I144" i="29"/>
  <c r="J144" i="29" s="1"/>
  <c r="I149" i="29"/>
  <c r="J149" i="29" s="1"/>
  <c r="I178" i="29"/>
  <c r="J178" i="29" s="1"/>
  <c r="I98" i="29"/>
  <c r="J98" i="29" s="1"/>
  <c r="I100" i="29"/>
  <c r="J100" i="29" s="1"/>
  <c r="I76" i="29"/>
  <c r="J76" i="29" s="1"/>
  <c r="I64" i="29"/>
  <c r="J64" i="29" s="1"/>
  <c r="I73" i="29"/>
  <c r="J73" i="29" s="1"/>
  <c r="I116" i="29"/>
  <c r="J116" i="29" s="1"/>
  <c r="I147" i="29"/>
  <c r="J147" i="29" s="1"/>
  <c r="I86" i="29"/>
  <c r="J86" i="29" s="1"/>
  <c r="I207" i="29"/>
  <c r="J207" i="29" s="1"/>
  <c r="I134" i="29"/>
  <c r="J134" i="29" s="1"/>
  <c r="I137" i="29"/>
  <c r="J137" i="29" s="1"/>
  <c r="I150" i="29"/>
  <c r="J150" i="29" s="1"/>
  <c r="I203" i="29"/>
  <c r="J203" i="29" s="1"/>
  <c r="I79" i="29"/>
  <c r="J79" i="29" s="1"/>
  <c r="I113" i="29"/>
  <c r="J113" i="29" s="1"/>
  <c r="I140" i="29"/>
  <c r="J140" i="29" s="1"/>
  <c r="I146" i="29"/>
  <c r="J146" i="29" s="1"/>
  <c r="I80" i="29"/>
  <c r="J80" i="29" s="1"/>
  <c r="I157" i="29"/>
  <c r="J157" i="29" s="1"/>
  <c r="I99" i="29"/>
  <c r="J99" i="29" s="1"/>
  <c r="I185" i="29"/>
  <c r="J185" i="29" s="1"/>
  <c r="I214" i="29"/>
  <c r="J214" i="29" s="1"/>
  <c r="I101" i="29"/>
  <c r="J101" i="29" s="1"/>
  <c r="I206" i="29"/>
  <c r="J206" i="29" s="1"/>
  <c r="I213" i="29"/>
  <c r="J213" i="29" s="1"/>
  <c r="I159" i="29"/>
  <c r="J159" i="29" s="1"/>
  <c r="I70" i="29"/>
  <c r="J70" i="29" s="1"/>
  <c r="I72" i="29"/>
  <c r="J72" i="29" s="1"/>
  <c r="I133" i="29"/>
  <c r="J133" i="29" s="1"/>
  <c r="I141" i="29"/>
  <c r="J141" i="29" s="1"/>
  <c r="I82" i="29"/>
  <c r="J82" i="29" s="1"/>
  <c r="I204" i="29"/>
  <c r="J204" i="29" s="1"/>
  <c r="I160" i="29"/>
  <c r="J160" i="29" s="1"/>
  <c r="I78" i="29"/>
  <c r="J78" i="29" s="1"/>
  <c r="D17" i="29"/>
  <c r="K5" i="32" l="1"/>
  <c r="F22" i="9" s="1"/>
  <c r="M29" i="17"/>
  <c r="J29" i="17" s="1"/>
  <c r="N29" i="17"/>
  <c r="N5" i="32"/>
  <c r="N30" i="17"/>
  <c r="M30" i="17"/>
  <c r="J30" i="17" s="1"/>
  <c r="J6" i="32" l="1"/>
  <c r="L6" i="32" s="1"/>
  <c r="C47" i="29"/>
  <c r="L5" i="32"/>
  <c r="C21" i="9" s="1"/>
  <c r="K29" i="17"/>
  <c r="O5" i="32"/>
  <c r="C21" i="29" s="1"/>
  <c r="K30" i="17"/>
  <c r="D47" i="29" s="1"/>
  <c r="M6" i="32"/>
  <c r="F22" i="29"/>
  <c r="C30" i="9"/>
  <c r="B25" i="9" l="1"/>
  <c r="C28" i="9" s="1"/>
  <c r="K6" i="32"/>
  <c r="J7" i="32" s="1"/>
  <c r="B40" i="9" s="1"/>
  <c r="D48" i="9" s="1"/>
  <c r="I174" i="29"/>
  <c r="J174" i="29" s="1"/>
  <c r="I175" i="29"/>
  <c r="J175" i="29" s="1"/>
  <c r="I173" i="29"/>
  <c r="J173" i="29" s="1"/>
  <c r="I177" i="29"/>
  <c r="J177" i="29" s="1"/>
  <c r="I176" i="29"/>
  <c r="J176" i="29" s="1"/>
  <c r="C29" i="29"/>
  <c r="I171" i="29"/>
  <c r="J171" i="29" s="1"/>
  <c r="I172" i="29"/>
  <c r="J172" i="29" s="1"/>
  <c r="I165" i="29"/>
  <c r="J165" i="29" s="1"/>
  <c r="I167" i="29"/>
  <c r="J167" i="29" s="1"/>
  <c r="I164" i="29"/>
  <c r="J164" i="29" s="1"/>
  <c r="I169" i="29"/>
  <c r="J169" i="29" s="1"/>
  <c r="I168" i="29"/>
  <c r="J168" i="29" s="1"/>
  <c r="I166" i="29"/>
  <c r="J166" i="29" s="1"/>
  <c r="I170" i="29"/>
  <c r="J170" i="29" s="1"/>
  <c r="I199" i="29"/>
  <c r="J199" i="29" s="1"/>
  <c r="I195" i="29"/>
  <c r="J195" i="29" s="1"/>
  <c r="I198" i="29"/>
  <c r="J198" i="29" s="1"/>
  <c r="I192" i="29"/>
  <c r="J192" i="29" s="1"/>
  <c r="I194" i="29"/>
  <c r="J194" i="29" s="1"/>
  <c r="I193" i="29"/>
  <c r="J193" i="29" s="1"/>
  <c r="I196" i="29"/>
  <c r="J196" i="29" s="1"/>
  <c r="I200" i="29"/>
  <c r="J200" i="29" s="1"/>
  <c r="I197" i="29"/>
  <c r="J197" i="29" s="1"/>
  <c r="I63" i="29"/>
  <c r="J63" i="29" s="1"/>
  <c r="I125" i="29"/>
  <c r="J125" i="29" s="1"/>
  <c r="I127" i="29"/>
  <c r="J127" i="29" s="1"/>
  <c r="I124" i="29"/>
  <c r="J124" i="29" s="1"/>
  <c r="I128" i="29"/>
  <c r="J128" i="29" s="1"/>
  <c r="I129" i="29"/>
  <c r="J129" i="29" s="1"/>
  <c r="I126" i="29"/>
  <c r="J126" i="29" s="1"/>
  <c r="I130" i="29"/>
  <c r="J130" i="29" s="1"/>
  <c r="I123" i="29"/>
  <c r="J123" i="29" s="1"/>
  <c r="I106" i="29"/>
  <c r="J106" i="29" s="1"/>
  <c r="I107" i="29"/>
  <c r="J107" i="29" s="1"/>
  <c r="I105" i="29"/>
  <c r="J105" i="29" s="1"/>
  <c r="I104" i="29"/>
  <c r="J104" i="29" s="1"/>
  <c r="I108" i="29"/>
  <c r="J108" i="29" s="1"/>
  <c r="I103" i="29"/>
  <c r="J103" i="29" s="1"/>
  <c r="I97" i="29"/>
  <c r="J97" i="29" s="1"/>
  <c r="I96" i="29"/>
  <c r="J96" i="29" s="1"/>
  <c r="I93" i="29"/>
  <c r="J93" i="29" s="1"/>
  <c r="I94" i="29"/>
  <c r="J94" i="29" s="1"/>
  <c r="I92" i="29"/>
  <c r="J92" i="29" s="1"/>
  <c r="I95" i="29"/>
  <c r="J95" i="29" s="1"/>
  <c r="I91" i="29"/>
  <c r="J91" i="29" s="1"/>
  <c r="N6" i="32"/>
  <c r="O6" i="32"/>
  <c r="B25" i="29"/>
  <c r="C48" i="9" l="1"/>
  <c r="F38" i="9"/>
  <c r="E31" i="9"/>
  <c r="C37" i="9"/>
  <c r="E32" i="9"/>
  <c r="E33" i="9"/>
  <c r="G30" i="9" s="1"/>
  <c r="I163" i="9"/>
  <c r="J163" i="9" s="1"/>
  <c r="I167" i="9"/>
  <c r="J167" i="9" s="1"/>
  <c r="I164" i="9"/>
  <c r="J164" i="9" s="1"/>
  <c r="I166" i="9"/>
  <c r="J166" i="9" s="1"/>
  <c r="I165" i="9"/>
  <c r="J165" i="9" s="1"/>
  <c r="I162" i="9"/>
  <c r="J162" i="9" s="1"/>
  <c r="I157" i="9"/>
  <c r="J157" i="9" s="1"/>
  <c r="I155" i="9"/>
  <c r="J155" i="9" s="1"/>
  <c r="I161" i="9"/>
  <c r="J161" i="9" s="1"/>
  <c r="I159" i="9"/>
  <c r="J159" i="9" s="1"/>
  <c r="I156" i="9"/>
  <c r="J156" i="9" s="1"/>
  <c r="I158" i="9"/>
  <c r="J158" i="9" s="1"/>
  <c r="I160" i="9"/>
  <c r="J160" i="9" s="1"/>
  <c r="I181" i="9"/>
  <c r="J181" i="9" s="1"/>
  <c r="I179" i="9"/>
  <c r="J179" i="9" s="1"/>
  <c r="I180" i="9"/>
  <c r="J180" i="9" s="1"/>
  <c r="I120" i="9"/>
  <c r="J120" i="9" s="1"/>
  <c r="I127" i="9"/>
  <c r="J127" i="9" s="1"/>
  <c r="I126" i="9"/>
  <c r="J126" i="9" s="1"/>
  <c r="I119" i="9"/>
  <c r="J119" i="9" s="1"/>
  <c r="I115" i="9"/>
  <c r="J115" i="9" s="1"/>
  <c r="I123" i="9"/>
  <c r="J123" i="9" s="1"/>
  <c r="I121" i="9"/>
  <c r="J121" i="9" s="1"/>
  <c r="I125" i="9"/>
  <c r="J125" i="9" s="1"/>
  <c r="I124" i="9"/>
  <c r="J124" i="9" s="1"/>
  <c r="I118" i="9"/>
  <c r="J118" i="9" s="1"/>
  <c r="I116" i="9"/>
  <c r="J116" i="9" s="1"/>
  <c r="I117" i="9"/>
  <c r="J117" i="9" s="1"/>
  <c r="I122" i="9"/>
  <c r="J122" i="9" s="1"/>
  <c r="I63" i="9"/>
  <c r="J63" i="9" s="1"/>
  <c r="I64" i="9"/>
  <c r="J64" i="9" s="1"/>
  <c r="I65" i="9"/>
  <c r="J65" i="9" s="1"/>
  <c r="I96" i="9"/>
  <c r="J96" i="9" s="1"/>
  <c r="I99" i="9"/>
  <c r="J99" i="9" s="1"/>
  <c r="I98" i="9"/>
  <c r="J98" i="9" s="1"/>
  <c r="I97" i="9"/>
  <c r="J97" i="9" s="1"/>
  <c r="I100" i="9"/>
  <c r="J100" i="9" s="1"/>
  <c r="I87" i="9"/>
  <c r="J87" i="9" s="1"/>
  <c r="I85" i="9"/>
  <c r="J85" i="9" s="1"/>
  <c r="I90" i="9"/>
  <c r="J90" i="9" s="1"/>
  <c r="I84" i="9"/>
  <c r="J84" i="9" s="1"/>
  <c r="I88" i="9"/>
  <c r="J88" i="9" s="1"/>
  <c r="I86" i="9"/>
  <c r="J86" i="9" s="1"/>
  <c r="I91" i="9"/>
  <c r="J91" i="9" s="1"/>
  <c r="I89" i="9"/>
  <c r="J89" i="9" s="1"/>
  <c r="C36" i="29"/>
  <c r="E32" i="29"/>
  <c r="E30" i="29"/>
  <c r="F37" i="29"/>
  <c r="E31" i="29"/>
  <c r="C27" i="29"/>
  <c r="C33" i="29" l="1"/>
  <c r="A33" i="29" s="1"/>
  <c r="G29" i="29"/>
  <c r="C34" i="9"/>
  <c r="A34" i="9" s="1"/>
  <c r="B33" i="2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put!$B$35:$H$49" type="102" refreshedVersion="6" minRefreshableVersion="5">
    <extLst>
      <ext xmlns:x15="http://schemas.microsoft.com/office/spreadsheetml/2010/11/main" uri="{DE250136-89BD-433C-8126-D09CA5730AF9}">
        <x15:connection id="Range">
          <x15:rangePr sourceName="_xlcn.WorksheetConnection_InputB35H49"/>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<sst xmlns="http://schemas.openxmlformats.org/spreadsheetml/2006/main" count="4031" uniqueCount="476">
  <si>
    <t>Combined risk assessment calculator</t>
  </si>
  <si>
    <t>Colour code explanation</t>
  </si>
  <si>
    <r>
      <rPr>
        <b/>
        <sz val="10"/>
        <color theme="1"/>
        <rFont val="Arial"/>
        <family val="2"/>
      </rPr>
      <t>White</t>
    </r>
    <r>
      <rPr>
        <sz val="10"/>
        <color theme="1"/>
        <rFont val="Arial"/>
        <family val="2"/>
      </rPr>
      <t xml:space="preserve">: Substance specific data to be filled in by the user. Not filling in the white cells may result in an error in the risk assessment.  Missing input may be indicated with a red dot </t>
    </r>
    <r>
      <rPr>
        <sz val="9"/>
        <color theme="1"/>
        <rFont val="Arial"/>
        <family val="2"/>
      </rPr>
      <t>"</t>
    </r>
    <r>
      <rPr>
        <b/>
        <sz val="10"/>
        <color rgb="FFFF0000"/>
        <rFont val="Arial"/>
        <family val="2"/>
      </rPr>
      <t>•</t>
    </r>
    <r>
      <rPr>
        <sz val="9"/>
        <rFont val="Arial"/>
        <family val="2"/>
      </rPr>
      <t>"</t>
    </r>
    <r>
      <rPr>
        <sz val="11"/>
        <rFont val="Arial"/>
        <family val="2"/>
      </rPr>
      <t xml:space="preserve"> </t>
    </r>
    <r>
      <rPr>
        <sz val="10"/>
        <rFont val="Arial"/>
        <family val="2"/>
      </rPr>
      <t>next to the cell.</t>
    </r>
  </si>
  <si>
    <t>Input</t>
  </si>
  <si>
    <r>
      <rPr>
        <b/>
        <sz val="10"/>
        <color theme="1"/>
        <rFont val="Arial"/>
        <family val="2"/>
      </rPr>
      <t>Tan</t>
    </r>
    <r>
      <rPr>
        <sz val="10"/>
        <color theme="1"/>
        <rFont val="Arial"/>
        <family val="2"/>
      </rPr>
      <t>: Technical information regarding the current step and how to proceed in the further steps are presented on top and below the calculations. Further information on how and why the current step was calculated is presented in the sides of the steps.</t>
    </r>
  </si>
  <si>
    <t>Information</t>
  </si>
  <si>
    <r>
      <rPr>
        <b/>
        <sz val="10"/>
        <color theme="1"/>
        <rFont val="Arial"/>
        <family val="2"/>
      </rPr>
      <t>Grey</t>
    </r>
    <r>
      <rPr>
        <sz val="10"/>
        <color theme="1"/>
        <rFont val="Arial"/>
        <family val="2"/>
      </rPr>
      <t>: Intermediate steps that will be calculated automatically, or which, for clarity,  repeat data from previous steps in the sheet:</t>
    </r>
  </si>
  <si>
    <t>Automatic calculation</t>
  </si>
  <si>
    <r>
      <rPr>
        <b/>
        <sz val="10"/>
        <color theme="1"/>
        <rFont val="Arial"/>
        <family val="2"/>
      </rPr>
      <t>Crossed over:</t>
    </r>
    <r>
      <rPr>
        <sz val="10"/>
        <color theme="1"/>
        <rFont val="Arial"/>
        <family val="2"/>
      </rPr>
      <t xml:space="preserve"> Input cells that are not relevant based on the current input/selections:</t>
    </r>
  </si>
  <si>
    <t>Irrelevant input cell</t>
  </si>
  <si>
    <r>
      <rPr>
        <b/>
        <sz val="10"/>
        <color theme="1"/>
        <rFont val="Arial"/>
        <family val="2"/>
      </rPr>
      <t xml:space="preserve">Green/Red: </t>
    </r>
    <r>
      <rPr>
        <sz val="10"/>
        <color theme="1"/>
        <rFont val="Arial"/>
        <family val="2"/>
      </rPr>
      <t xml:space="preserve">Definite calculations in the Step-wise procedure in Appendix B give indications on the outecome of the risk assessment. The two alternatives are indicated with two different colours: </t>
    </r>
  </si>
  <si>
    <t>No indication of unacceptable risk</t>
  </si>
  <si>
    <t>Unacceptable risk indicated</t>
  </si>
  <si>
    <t>Background</t>
  </si>
  <si>
    <t>A mixtox calculator for adressing the combined risk of more than one active substance (and possibly also co-formulants) has been generated based on the Appendix B of the  guidance document Risk Assessment for Birds and Mammals (Appendix B: EFSA Journal 2009; 7(12):14389). Appendix B of the guidance document for bird and mammals present a stepwise procedure for assessing the combined mixture toxicity when it is expected that bird and mammals may be exposed to more than one active substance in the environment. The step-wise procedure as presented in Appendix B is  presented in this calculator.</t>
  </si>
  <si>
    <t>Version and edit log</t>
  </si>
  <si>
    <t>Version</t>
  </si>
  <si>
    <t>Description</t>
  </si>
  <si>
    <t>Date</t>
  </si>
  <si>
    <t>First published version.</t>
  </si>
  <si>
    <t>Bird &amp; Mammal Mixture risk assessment calculator</t>
  </si>
  <si>
    <t>Product information</t>
  </si>
  <si>
    <t>Name of the product</t>
  </si>
  <si>
    <t xml:space="preserve">Sum concentration of substances: </t>
  </si>
  <si>
    <r>
      <t>∑(g a.s.</t>
    </r>
    <r>
      <rPr>
        <vertAlign val="subscript"/>
        <sz val="11"/>
        <color theme="1"/>
        <rFont val="Arial"/>
        <family val="2"/>
      </rPr>
      <t>[i]</t>
    </r>
    <r>
      <rPr>
        <sz val="11"/>
        <color theme="1"/>
        <rFont val="Arial"/>
        <family val="2"/>
      </rPr>
      <t>) / L or kg of product</t>
    </r>
  </si>
  <si>
    <t>Number of components [1-5]</t>
  </si>
  <si>
    <t>Data availability</t>
  </si>
  <si>
    <t>Birds</t>
  </si>
  <si>
    <t>Mammals</t>
  </si>
  <si>
    <t>Toxicity</t>
  </si>
  <si>
    <t>Acute Formulation study</t>
  </si>
  <si>
    <r>
      <t>LD</t>
    </r>
    <r>
      <rPr>
        <vertAlign val="subscript"/>
        <sz val="11"/>
        <color theme="1"/>
        <rFont val="Arial"/>
        <family val="2"/>
      </rPr>
      <t>50</t>
    </r>
  </si>
  <si>
    <r>
      <t>∑(mg a.s.</t>
    </r>
    <r>
      <rPr>
        <vertAlign val="subscript"/>
        <sz val="11"/>
        <color theme="1"/>
        <rFont val="Arial"/>
        <family val="2"/>
      </rPr>
      <t>[i]</t>
    </r>
    <r>
      <rPr>
        <sz val="11"/>
        <color theme="1"/>
        <rFont val="Arial"/>
        <family val="2"/>
      </rPr>
      <t>)/kg bw</t>
    </r>
  </si>
  <si>
    <t>Chronic Formulation study</t>
  </si>
  <si>
    <t>NOAEL</t>
  </si>
  <si>
    <r>
      <t>∑(mg a.s.</t>
    </r>
    <r>
      <rPr>
        <vertAlign val="subscript"/>
        <sz val="11"/>
        <color theme="1"/>
        <rFont val="Arial"/>
        <family val="2"/>
      </rPr>
      <t>[i]</t>
    </r>
    <r>
      <rPr>
        <sz val="11"/>
        <color theme="1"/>
        <rFont val="Arial"/>
        <family val="2"/>
      </rPr>
      <t>)/kg bw/d</t>
    </r>
  </si>
  <si>
    <t>Substance infromation</t>
  </si>
  <si>
    <t>Information should be inserted for all active substances (and relevant co-formulants of known toxicity).</t>
  </si>
  <si>
    <t>Name of the substance</t>
  </si>
  <si>
    <t>Concentration in the product</t>
  </si>
  <si>
    <t>Fraction of a.s. in the product</t>
  </si>
  <si>
    <r>
      <t>Birds LD</t>
    </r>
    <r>
      <rPr>
        <vertAlign val="subscript"/>
        <sz val="11"/>
        <color theme="1"/>
        <rFont val="Arial"/>
        <family val="2"/>
      </rPr>
      <t>50</t>
    </r>
    <r>
      <rPr>
        <sz val="11"/>
        <color theme="1"/>
        <rFont val="Arial"/>
        <family val="2"/>
      </rPr>
      <t xml:space="preserve"> (mg a.s./kg bw)</t>
    </r>
  </si>
  <si>
    <t>Birds NOAEL (mg a.s./kg bw/d)</t>
  </si>
  <si>
    <r>
      <t>Mammals LD</t>
    </r>
    <r>
      <rPr>
        <vertAlign val="subscript"/>
        <sz val="11"/>
        <color theme="1"/>
        <rFont val="Arial"/>
        <family val="2"/>
      </rPr>
      <t>50</t>
    </r>
    <r>
      <rPr>
        <sz val="11"/>
        <color theme="1"/>
        <rFont val="Arial"/>
        <family val="2"/>
      </rPr>
      <t xml:space="preserve"> (mg/kg bw)</t>
    </r>
  </si>
  <si>
    <t>Mammals NOAEL (mg a.s./kg bw/d)</t>
  </si>
  <si>
    <t>Risk assessment scenarios</t>
  </si>
  <si>
    <r>
      <t>Insert information relevant for the risk assessment. For multiple applications, default MAF</t>
    </r>
    <r>
      <rPr>
        <vertAlign val="subscript"/>
        <sz val="11"/>
        <color theme="1"/>
        <rFont val="Arial"/>
        <family val="2"/>
      </rPr>
      <t>90</t>
    </r>
    <r>
      <rPr>
        <sz val="11"/>
        <color theme="1"/>
        <rFont val="Arial"/>
        <family val="2"/>
      </rPr>
      <t xml:space="preserve"> and MAF</t>
    </r>
    <r>
      <rPr>
        <vertAlign val="subscript"/>
        <sz val="11"/>
        <color theme="1"/>
        <rFont val="Arial"/>
        <family val="2"/>
      </rPr>
      <t xml:space="preserve">m </t>
    </r>
    <r>
      <rPr>
        <sz val="11"/>
        <color theme="1"/>
        <rFont val="Arial"/>
        <family val="2"/>
      </rPr>
      <t xml:space="preserve"> from EFSA B&amp;M GD are calculated, based on the application interval and number of applications. Only one application pattern can be used for each 'Crop scenario'.
At least one fully defined scenario (denoted with "</t>
    </r>
    <r>
      <rPr>
        <sz val="20"/>
        <color theme="9"/>
        <rFont val="Arial"/>
        <family val="2"/>
      </rPr>
      <t>●</t>
    </r>
    <r>
      <rPr>
        <sz val="11"/>
        <color theme="1"/>
        <rFont val="Arial"/>
        <family val="2"/>
      </rPr>
      <t xml:space="preserve">" above the scenario) is required for the risk assessment. </t>
    </r>
  </si>
  <si>
    <t>Application scenarios</t>
  </si>
  <si>
    <t>A</t>
  </si>
  <si>
    <t>B</t>
  </si>
  <si>
    <t>C</t>
  </si>
  <si>
    <t>D</t>
  </si>
  <si>
    <t>E</t>
  </si>
  <si>
    <t>F</t>
  </si>
  <si>
    <t>Crop scenario:</t>
  </si>
  <si>
    <r>
      <rPr>
        <b/>
        <sz val="9"/>
        <color theme="1"/>
        <rFont val="Arial"/>
        <family val="2"/>
      </rPr>
      <t>B&amp;M GD (2009): Table 7 and Table 9</t>
    </r>
    <r>
      <rPr>
        <sz val="9"/>
        <color theme="1"/>
        <rFont val="Arial"/>
        <family val="2"/>
      </rPr>
      <t>: Multiple application factors for 90</t>
    </r>
    <r>
      <rPr>
        <vertAlign val="superscript"/>
        <sz val="9"/>
        <color theme="1"/>
        <rFont val="Arial"/>
        <family val="2"/>
      </rPr>
      <t>th</t>
    </r>
    <r>
      <rPr>
        <sz val="9"/>
        <color theme="1"/>
        <rFont val="Arial"/>
        <family val="2"/>
      </rPr>
      <t xml:space="preserve"> percentile residue data (MAF</t>
    </r>
    <r>
      <rPr>
        <vertAlign val="subscript"/>
        <sz val="9"/>
        <color theme="1"/>
        <rFont val="Arial"/>
        <family val="2"/>
      </rPr>
      <t>90</t>
    </r>
    <r>
      <rPr>
        <sz val="9"/>
        <color theme="1"/>
        <rFont val="Arial"/>
        <family val="2"/>
      </rPr>
      <t>) for selected application intervals and n = 1-8 applications (considering a default DT</t>
    </r>
    <r>
      <rPr>
        <vertAlign val="subscript"/>
        <sz val="9"/>
        <color theme="1"/>
        <rFont val="Arial"/>
        <family val="2"/>
      </rPr>
      <t>50</t>
    </r>
    <r>
      <rPr>
        <sz val="9"/>
        <color theme="1"/>
        <rFont val="Arial"/>
        <family val="2"/>
      </rPr>
      <t xml:space="preserve"> of 10 d on foliage).</t>
    </r>
  </si>
  <si>
    <t>Application rate</t>
  </si>
  <si>
    <t>Interval (d)</t>
  </si>
  <si>
    <t>ꝏ</t>
  </si>
  <si>
    <t>Number of applications</t>
  </si>
  <si>
    <t>Application interval (d)</t>
  </si>
  <si>
    <r>
      <t>MAF</t>
    </r>
    <r>
      <rPr>
        <vertAlign val="subscript"/>
        <sz val="11"/>
        <color theme="1"/>
        <rFont val="Arial"/>
        <family val="2"/>
      </rPr>
      <t>90</t>
    </r>
  </si>
  <si>
    <r>
      <t>MAF</t>
    </r>
    <r>
      <rPr>
        <vertAlign val="subscript"/>
        <sz val="11"/>
        <color theme="1"/>
        <rFont val="Arial"/>
        <family val="2"/>
      </rPr>
      <t>m</t>
    </r>
  </si>
  <si>
    <r>
      <rPr>
        <b/>
        <sz val="9"/>
        <color theme="1"/>
        <rFont val="Arial"/>
        <family val="2"/>
      </rPr>
      <t xml:space="preserve">B&amp;M GD (2009): Table 11 and Table 13: </t>
    </r>
    <r>
      <rPr>
        <sz val="9"/>
        <color theme="1"/>
        <rFont val="Arial"/>
        <family val="2"/>
      </rPr>
      <t>Multiple application factors assuming mean residues (MAF</t>
    </r>
    <r>
      <rPr>
        <vertAlign val="subscript"/>
        <sz val="9"/>
        <color theme="1"/>
        <rFont val="Arial"/>
        <family val="2"/>
      </rPr>
      <t>m</t>
    </r>
    <r>
      <rPr>
        <sz val="9"/>
        <color theme="1"/>
        <rFont val="Arial"/>
        <family val="2"/>
      </rPr>
      <t>) for use in reproductive assessments.</t>
    </r>
  </si>
  <si>
    <t>TWA</t>
  </si>
  <si>
    <t>Limit</t>
  </si>
  <si>
    <r>
      <t>MAF</t>
    </r>
    <r>
      <rPr>
        <vertAlign val="subscript"/>
        <sz val="11"/>
        <color theme="1"/>
        <rFont val="Arial"/>
        <family val="2"/>
      </rPr>
      <t>m</t>
    </r>
    <r>
      <rPr>
        <sz val="11"/>
        <color theme="1"/>
        <rFont val="Arial"/>
        <family val="2"/>
      </rPr>
      <t xml:space="preserve"> x TWA</t>
    </r>
  </si>
  <si>
    <t>Application rates</t>
  </si>
  <si>
    <t>…</t>
  </si>
  <si>
    <t>Acute combined toxicity calculated according to Appendix B in EFSA B&amp;M guidance</t>
  </si>
  <si>
    <t>Step 1</t>
  </si>
  <si>
    <r>
      <t>Calculation of the surrogate LD</t>
    </r>
    <r>
      <rPr>
        <b/>
        <vertAlign val="subscript"/>
        <sz val="11"/>
        <color theme="0"/>
        <rFont val="Arial"/>
        <family val="2"/>
      </rPr>
      <t>50</t>
    </r>
    <r>
      <rPr>
        <b/>
        <sz val="11"/>
        <color theme="0"/>
        <rFont val="Arial"/>
        <family val="2"/>
      </rPr>
      <t xml:space="preserve"> value for acute effects (mortality) and assessment of single substance driver of the risk</t>
    </r>
  </si>
  <si>
    <t>Product</t>
  </si>
  <si>
    <r>
      <t>tpf</t>
    </r>
    <r>
      <rPr>
        <vertAlign val="subscript"/>
        <sz val="11"/>
        <color theme="1"/>
        <rFont val="Arial"/>
        <family val="2"/>
      </rPr>
      <t>(mix)</t>
    </r>
    <r>
      <rPr>
        <sz val="11"/>
        <color theme="1"/>
        <rFont val="Arial"/>
        <family val="2"/>
      </rPr>
      <t xml:space="preserve"> and LD</t>
    </r>
    <r>
      <rPr>
        <vertAlign val="subscript"/>
        <sz val="11"/>
        <color theme="1"/>
        <rFont val="Arial"/>
        <family val="2"/>
      </rPr>
      <t>50(mix)</t>
    </r>
  </si>
  <si>
    <r>
      <t>tpf</t>
    </r>
    <r>
      <rPr>
        <vertAlign val="subscript"/>
        <sz val="11"/>
        <rFont val="Arial"/>
        <family val="2"/>
      </rPr>
      <t>(as[i])</t>
    </r>
  </si>
  <si>
    <r>
      <t>Deviation from tpf</t>
    </r>
    <r>
      <rPr>
        <vertAlign val="subscript"/>
        <sz val="11"/>
        <color theme="1"/>
        <rFont val="Arial"/>
        <family val="2"/>
      </rPr>
      <t>(mix)</t>
    </r>
  </si>
  <si>
    <r>
      <t>Contribution to LD</t>
    </r>
    <r>
      <rPr>
        <vertAlign val="subscript"/>
        <sz val="11"/>
        <color theme="1"/>
        <rFont val="Arial"/>
        <family val="2"/>
      </rPr>
      <t>50(mix)</t>
    </r>
  </si>
  <si>
    <t>How to proceed?</t>
  </si>
  <si>
    <t>Next Step</t>
  </si>
  <si>
    <t>Step 2</t>
  </si>
  <si>
    <t>Investigation of whether the formulation is more toxic than predicted from the toxicity of the individual components</t>
  </si>
  <si>
    <t>Acute formulation data:</t>
  </si>
  <si>
    <r>
      <t xml:space="preserve">Predicted toxicity: </t>
    </r>
    <r>
      <rPr>
        <sz val="11"/>
        <color theme="1"/>
        <rFont val="Arial"/>
        <family val="2"/>
      </rPr>
      <t>1 / LD</t>
    </r>
    <r>
      <rPr>
        <vertAlign val="subscript"/>
        <sz val="11"/>
        <color theme="1"/>
        <rFont val="Arial"/>
        <family val="2"/>
      </rPr>
      <t>50(mix)</t>
    </r>
  </si>
  <si>
    <r>
      <t xml:space="preserve">Measured toxicity: </t>
    </r>
    <r>
      <rPr>
        <sz val="11"/>
        <color theme="1"/>
        <rFont val="Arial"/>
        <family val="2"/>
      </rPr>
      <t>1 / LD</t>
    </r>
    <r>
      <rPr>
        <vertAlign val="subscript"/>
        <sz val="11"/>
        <color theme="1"/>
        <rFont val="Arial"/>
        <family val="2"/>
      </rPr>
      <t>50(formulation)</t>
    </r>
  </si>
  <si>
    <t>Difference between measured and predicted toxicity:</t>
  </si>
  <si>
    <t xml:space="preserve">Step 4 </t>
  </si>
  <si>
    <t>Tier 1 Acute MixTox Risk assessment for birds</t>
  </si>
  <si>
    <t>Endpoint type</t>
  </si>
  <si>
    <t>Value</t>
  </si>
  <si>
    <t xml:space="preserve">  Unit</t>
  </si>
  <si>
    <t xml:space="preserve">  mg a.s./kg bw</t>
  </si>
  <si>
    <t>Crop</t>
  </si>
  <si>
    <t>BBCH Scenario</t>
  </si>
  <si>
    <t>Generic focal species</t>
  </si>
  <si>
    <t>Representative species</t>
  </si>
  <si>
    <r>
      <t>SV</t>
    </r>
    <r>
      <rPr>
        <b/>
        <vertAlign val="subscript"/>
        <sz val="10"/>
        <color theme="0"/>
        <rFont val="Arial"/>
        <family val="2"/>
      </rPr>
      <t>90</t>
    </r>
  </si>
  <si>
    <r>
      <t>DDD</t>
    </r>
    <r>
      <rPr>
        <b/>
        <vertAlign val="subscript"/>
        <sz val="10"/>
        <color theme="0"/>
        <rFont val="Arial"/>
        <family val="2"/>
      </rPr>
      <t>90</t>
    </r>
    <r>
      <rPr>
        <b/>
        <sz val="10"/>
        <color theme="0"/>
        <rFont val="Arial"/>
        <family val="2"/>
      </rPr>
      <t xml:space="preserve"> </t>
    </r>
    <r>
      <rPr>
        <sz val="10"/>
        <color theme="0"/>
        <rFont val="Arial"/>
        <family val="2"/>
      </rPr>
      <t>(mg/kg bw/d)</t>
    </r>
  </si>
  <si>
    <r>
      <t>TER</t>
    </r>
    <r>
      <rPr>
        <b/>
        <vertAlign val="subscript"/>
        <sz val="10"/>
        <color theme="0"/>
        <rFont val="Arial"/>
        <family val="2"/>
      </rPr>
      <t>mix</t>
    </r>
  </si>
  <si>
    <t>M</t>
  </si>
  <si>
    <t>Bare soils</t>
  </si>
  <si>
    <t>BBCH &lt; 10</t>
  </si>
  <si>
    <t>Small granivorous bird</t>
  </si>
  <si>
    <t>Linnet</t>
  </si>
  <si>
    <t>Small omnivorous bird</t>
  </si>
  <si>
    <t>Woodlark</t>
  </si>
  <si>
    <t>Small insectivorous bird</t>
  </si>
  <si>
    <t>Yellow wagtail</t>
  </si>
  <si>
    <t>Bulbs and onion like crops</t>
  </si>
  <si>
    <t>BBCH 10 - 19</t>
  </si>
  <si>
    <t>BBCH ≥ 40</t>
  </si>
  <si>
    <t>BBCH 10 - 39</t>
  </si>
  <si>
    <t>BBCH ≥ 20</t>
  </si>
  <si>
    <t>Bush and Cane fruits</t>
  </si>
  <si>
    <t>Fruit stage BBCH 71 - 89 currants</t>
  </si>
  <si>
    <t>Frugivorous bird</t>
  </si>
  <si>
    <t>Blackcap</t>
  </si>
  <si>
    <t>Whole season BBCH 00 - 79 currants</t>
  </si>
  <si>
    <t>Willow warbler</t>
  </si>
  <si>
    <t>Cereals</t>
  </si>
  <si>
    <t>BBCH 10 - 29</t>
  </si>
  <si>
    <t>Early (shoots) autumn-winter BBCH 10 - 29</t>
  </si>
  <si>
    <t>Large herbivorous bird</t>
  </si>
  <si>
    <t>Pink-foot goose</t>
  </si>
  <si>
    <t>BBCH 30 - 39</t>
  </si>
  <si>
    <t>Late post-emergence (May - June) BBCH 71 - 89</t>
  </si>
  <si>
    <t>Fan tailed warbler</t>
  </si>
  <si>
    <t>Late season - Seed heads</t>
  </si>
  <si>
    <t>Small granivorous/insectivorous bird</t>
  </si>
  <si>
    <t>Yellowhammer</t>
  </si>
  <si>
    <t>Cotton</t>
  </si>
  <si>
    <t>Medium insectivorous bird</t>
  </si>
  <si>
    <t>Collared Pratincoles</t>
  </si>
  <si>
    <t>BBCH 10 - 49</t>
  </si>
  <si>
    <t>House sparrow</t>
  </si>
  <si>
    <t>BBCH ≥ 50</t>
  </si>
  <si>
    <t>Fruiting vegetables</t>
  </si>
  <si>
    <t>Fruit stage BBCH 71 - 89</t>
  </si>
  <si>
    <t>Crow</t>
  </si>
  <si>
    <t>Starling</t>
  </si>
  <si>
    <t>Grassland</t>
  </si>
  <si>
    <t>New sown grass seeds</t>
  </si>
  <si>
    <t>Growing shoots</t>
  </si>
  <si>
    <t>Late season (seed heads)</t>
  </si>
  <si>
    <t>Hop</t>
  </si>
  <si>
    <t>Chaffinch</t>
  </si>
  <si>
    <t>Goldfinch</t>
  </si>
  <si>
    <t>BBCH 20 - 39</t>
  </si>
  <si>
    <t>Leafy vegetables</t>
  </si>
  <si>
    <t>Serin</t>
  </si>
  <si>
    <t>Leaf development BBCH 10 - 19</t>
  </si>
  <si>
    <t>Medium herbivorous/granivorous bird</t>
  </si>
  <si>
    <t>Wood pigeon</t>
  </si>
  <si>
    <t>Legume forage</t>
  </si>
  <si>
    <t>Leaf development BBCH 21 - 49</t>
  </si>
  <si>
    <t>Maize</t>
  </si>
  <si>
    <t>Medium granivorous bird</t>
  </si>
  <si>
    <t>Patridge</t>
  </si>
  <si>
    <t>Small insectivorous/worm feeding species bird</t>
  </si>
  <si>
    <t>Robin</t>
  </si>
  <si>
    <t>BBCH ≥ 30</t>
  </si>
  <si>
    <t>Oilseed rape</t>
  </si>
  <si>
    <t>Early (shoots) BBCH 10 - 19</t>
  </si>
  <si>
    <t>Greylag goose</t>
  </si>
  <si>
    <t>Late (with seeds) BBCH 80 - 99</t>
  </si>
  <si>
    <t>BBCH 20 - 29</t>
  </si>
  <si>
    <t>Late - late (with seeds) BBCH 30 - 99</t>
  </si>
  <si>
    <t>Dunnoc</t>
  </si>
  <si>
    <t>Orchards</t>
  </si>
  <si>
    <t>Spring, Summer</t>
  </si>
  <si>
    <t>Bluetit</t>
  </si>
  <si>
    <t>Application corp directed BBCH 10 - 19</t>
  </si>
  <si>
    <t>Small insectivorous / worm feeding species bird</t>
  </si>
  <si>
    <t>Application crop directed BBCH 20 - 39</t>
  </si>
  <si>
    <t>Application crop directed BBCH ≥ 40</t>
  </si>
  <si>
    <t>Not crop directed application, all season</t>
  </si>
  <si>
    <t>Ornamentals/nursery</t>
  </si>
  <si>
    <t>Application to plant</t>
  </si>
  <si>
    <t>Application to plant - exposure to underlying ground</t>
  </si>
  <si>
    <t>Potatoes</t>
  </si>
  <si>
    <t>Pulses</t>
  </si>
  <si>
    <t>Root and stem vegetables</t>
  </si>
  <si>
    <t>Strawberries</t>
  </si>
  <si>
    <t>Late (Flowering/ development of fruit/ Maturity of fruit) BBCH 61 - 89</t>
  </si>
  <si>
    <t>Sugarbeet</t>
  </si>
  <si>
    <t>Early (spring) BBCH 10 - 19</t>
  </si>
  <si>
    <t>BBCH 20 - 49</t>
  </si>
  <si>
    <t>Late (summer/autumn) BBCH 30 - 49</t>
  </si>
  <si>
    <t>Sunflower</t>
  </si>
  <si>
    <t>Early (Germination / leaf development) BBCH 00 - 19</t>
  </si>
  <si>
    <t>Late (Flowering, seed ripening) BBCH 61 - 92</t>
  </si>
  <si>
    <t>Small granivorous / insectivorous bird</t>
  </si>
  <si>
    <t>Vineyards</t>
  </si>
  <si>
    <t>Black Redstart</t>
  </si>
  <si>
    <t>Ripening</t>
  </si>
  <si>
    <t>Song Thrush</t>
  </si>
  <si>
    <t>How to proceed with the acute Higher Tier MixTox assessment for birds?</t>
  </si>
  <si>
    <r>
      <t xml:space="preserve">If acceptable risk is demonstrated for all relevant scenarios, no further consideration is required. When further refinements of the risk assessment are necessary, the Northern Zone higher tier guidance document describing relevant scenarios to be used in a higher tier risk assessment should be used together with the associated spreadsheet (both available at the Danish EPA webpage*). When a higher tier assessment is triggered the risk should be assessed for </t>
    </r>
    <r>
      <rPr>
        <b/>
        <sz val="11"/>
        <color theme="1"/>
        <rFont val="Arial"/>
        <family val="2"/>
      </rPr>
      <t>all focal species</t>
    </r>
    <r>
      <rPr>
        <sz val="11"/>
        <color theme="1"/>
        <rFont val="Arial"/>
        <family val="2"/>
      </rPr>
      <t>. All species required for the crop and growth stage in question according to the Northern Zone higher tier guidance document are relevant, even if the species were already assessed as generic focal species at tier 1. The main reason for this is that the tier 1 scenarios are not necessarily worst case with respect to diet in the Northern Zone, where some of the generic focal species are rare or missing and the niches of the remaining species may thus be broader. Higher tier TER calculations are however not required for species which passed the trigger by a factor of 2 or more at tier 1.</t>
    </r>
  </si>
  <si>
    <t>* Please refer to the latest version of the general Norther Zone Guidance Document and the Nothern Zone Higher Tier Guidance for birds and mammals (with the corresponding spreadsheet). All documents are available at the Danish EPA webpage (link below).</t>
  </si>
  <si>
    <t>http://eng.mst.dk/chemicals/pesticides/applications-for-authorisation-after-14-june-
2011/cooperation-in-the-north-zone/</t>
  </si>
  <si>
    <t>Tier 1 Chronic MixTox Risk assessment for birds</t>
  </si>
  <si>
    <r>
      <t xml:space="preserve">NOAEL </t>
    </r>
    <r>
      <rPr>
        <sz val="11"/>
        <color theme="8" tint="-0.249977111117893"/>
        <rFont val="Arial"/>
        <family val="2"/>
      </rPr>
      <t>(mg as/kg bw/d)</t>
    </r>
  </si>
  <si>
    <t xml:space="preserve">Use formulation data?  </t>
  </si>
  <si>
    <t>ID</t>
  </si>
  <si>
    <t>Relevance</t>
  </si>
  <si>
    <r>
      <t>SV</t>
    </r>
    <r>
      <rPr>
        <b/>
        <vertAlign val="subscript"/>
        <sz val="11"/>
        <color theme="0"/>
        <rFont val="Arial"/>
        <family val="2"/>
      </rPr>
      <t>m</t>
    </r>
  </si>
  <si>
    <r>
      <t>C</t>
    </r>
    <r>
      <rPr>
        <b/>
        <vertAlign val="subscript"/>
        <sz val="9"/>
        <color theme="0"/>
        <rFont val="Arial"/>
        <family val="2"/>
      </rPr>
      <t xml:space="preserve">(mix) </t>
    </r>
    <r>
      <rPr>
        <b/>
        <sz val="9"/>
        <color theme="0"/>
        <rFont val="Arial"/>
        <family val="2"/>
      </rPr>
      <t xml:space="preserve">
(mg/kg bw/d)</t>
    </r>
  </si>
  <si>
    <r>
      <t>DDD</t>
    </r>
    <r>
      <rPr>
        <b/>
        <vertAlign val="subscript"/>
        <sz val="9"/>
        <color theme="4" tint="0.79998168889431442"/>
        <rFont val="Arial"/>
        <family val="2"/>
      </rPr>
      <t xml:space="preserve">m </t>
    </r>
    <r>
      <rPr>
        <sz val="9"/>
        <color theme="4" tint="0.79998168889431442"/>
        <rFont val="Arial"/>
        <family val="2"/>
      </rPr>
      <t>(mg/kg bw/d)</t>
    </r>
  </si>
  <si>
    <r>
      <t>TER</t>
    </r>
    <r>
      <rPr>
        <b/>
        <vertAlign val="subscript"/>
        <sz val="9"/>
        <color theme="4" tint="0.79998168889431442"/>
        <rFont val="Arial"/>
        <family val="2"/>
      </rPr>
      <t>LT</t>
    </r>
  </si>
  <si>
    <r>
      <t>DDD</t>
    </r>
    <r>
      <rPr>
        <b/>
        <vertAlign val="subscript"/>
        <sz val="9"/>
        <color theme="4" tint="0.79998168889431442"/>
        <rFont val="Arial"/>
        <family val="2"/>
      </rPr>
      <t>m</t>
    </r>
    <r>
      <rPr>
        <b/>
        <sz val="9"/>
        <color theme="4" tint="0.79998168889431442"/>
        <rFont val="Arial"/>
        <family val="2"/>
      </rPr>
      <t xml:space="preserve"> </t>
    </r>
    <r>
      <rPr>
        <sz val="9"/>
        <color theme="4" tint="0.79998168889431442"/>
        <rFont val="Arial"/>
        <family val="2"/>
      </rPr>
      <t>(mg/kg bw/d)</t>
    </r>
  </si>
  <si>
    <t>Small granivorous bird (finch)</t>
  </si>
  <si>
    <t>Small omnivorous bird (lark)</t>
  </si>
  <si>
    <t>Small insectivorous bird (wagtail)</t>
  </si>
  <si>
    <t>Frugivorous bird (blackcap)</t>
  </si>
  <si>
    <t>Small insectivorous bird (warbler)</t>
  </si>
  <si>
    <t>Large herbivorous bird (goose)</t>
  </si>
  <si>
    <t>Small insectivorous bird (passerine)</t>
  </si>
  <si>
    <t>Small granivorous/insectivorous bird (bunting)</t>
  </si>
  <si>
    <t>Medium insectivorous bird (pranticole)</t>
  </si>
  <si>
    <t>Small omnivorous bird (sparrow)</t>
  </si>
  <si>
    <t>Frugivorous bird (crow)</t>
  </si>
  <si>
    <t>Frugivorous bird (starling)</t>
  </si>
  <si>
    <t>Small granivorous bird (sparrow)</t>
  </si>
  <si>
    <t>Small insectivorous bird (finch)</t>
  </si>
  <si>
    <t>Medium herbivorous/granivorous bird (pigeon)</t>
  </si>
  <si>
    <t>Medium granivorous bird (gamebird)</t>
  </si>
  <si>
    <t>Small insectivorous/worm feeding species bird (thrush)</t>
  </si>
  <si>
    <t>Small insectivorous bird (dunnock)</t>
  </si>
  <si>
    <t>Small insectivorous bird (tit)</t>
  </si>
  <si>
    <t>Small insectivorous / worm feeding species bird (thrush)</t>
  </si>
  <si>
    <t>Sugar beet</t>
  </si>
  <si>
    <t>Small granivorous / insectivorous bird (bunting)</t>
  </si>
  <si>
    <t>Small insectivorous bird (Redstart)</t>
  </si>
  <si>
    <t>Frugivorous bird (Thrush/Starling)</t>
  </si>
  <si>
    <t>How to proceed with the chronic higher tier MixTox assessment for birds?</t>
  </si>
  <si>
    <t>Tier 1 Acute MixTox Risk assessment for mammals</t>
  </si>
  <si>
    <r>
      <t>Scenario-input is used in the Tier 1 assessment, together with the endpoint indicated below.
Filter the table below for relevant scenarios. Column TER</t>
    </r>
    <r>
      <rPr>
        <vertAlign val="subscript"/>
        <sz val="11"/>
        <color theme="1"/>
        <rFont val="Arial"/>
        <family val="2"/>
      </rPr>
      <t>mix</t>
    </r>
    <r>
      <rPr>
        <sz val="11"/>
        <color theme="1"/>
        <rFont val="Arial"/>
        <family val="2"/>
      </rPr>
      <t xml:space="preserve"> indicates whether the risk is acceptable or not:</t>
    </r>
  </si>
  <si>
    <t>Acceptable risk demonstrated. TER mix is above the standard trigger of 10.</t>
  </si>
  <si>
    <t>Acceptable risk not demonstrated. TER mix is below the standard trigger of 10.</t>
  </si>
  <si>
    <t>Small omnivorous mammal</t>
  </si>
  <si>
    <t>Wood mouse</t>
  </si>
  <si>
    <t xml:space="preserve">BBCH 10 - 19 </t>
  </si>
  <si>
    <t>Small insectivorous mammal</t>
  </si>
  <si>
    <t>Common shrew</t>
  </si>
  <si>
    <t>Small herbivorous mammal</t>
  </si>
  <si>
    <t>Common vole</t>
  </si>
  <si>
    <t>Fruit stage BBCH 71 - 79 currants</t>
  </si>
  <si>
    <t xml:space="preserve"> Frugivorous mammal</t>
  </si>
  <si>
    <t>Garden dormouse</t>
  </si>
  <si>
    <t>Early (Shoots)</t>
  </si>
  <si>
    <t>Large herbivorous mammal</t>
  </si>
  <si>
    <t>Rabbit</t>
  </si>
  <si>
    <t xml:space="preserve">BBCH 40 - 49 </t>
  </si>
  <si>
    <t>Fruit stage BBCH 71 - 78</t>
  </si>
  <si>
    <t>Brown rat</t>
  </si>
  <si>
    <t>All season</t>
  </si>
  <si>
    <t>Brown hare</t>
  </si>
  <si>
    <t>Late</t>
  </si>
  <si>
    <t>BBCH 40 - 49</t>
  </si>
  <si>
    <t>Application crop directed BBCH 10 - 19</t>
  </si>
  <si>
    <t>Application crop directed BBCH 20 - 40</t>
  </si>
  <si>
    <t>Frugivorous mammal</t>
  </si>
  <si>
    <t>Application crop directed BBCH &lt; 10 or not crop directed</t>
  </si>
  <si>
    <t>Application crop directed BBCH 10 - 49</t>
  </si>
  <si>
    <t>Application crop directed BBCH ≥ 50</t>
  </si>
  <si>
    <t>BBCH 10 - 40</t>
  </si>
  <si>
    <t xml:space="preserve">BBCH 10 - 39 </t>
  </si>
  <si>
    <t>Pre harvest seed BBCH 81 - 99</t>
  </si>
  <si>
    <t>Application ground directed</t>
  </si>
  <si>
    <t>How to proceed with the acute Higher Tier MixTox assessment for mammals?</t>
  </si>
  <si>
    <t>Tier 1 Chronic MixTox Risk assessment for mammals</t>
  </si>
  <si>
    <t>Substance</t>
  </si>
  <si>
    <t>Small omnivorous mammal (mouse)</t>
  </si>
  <si>
    <t>Small insectivorous mammal (shrew)</t>
  </si>
  <si>
    <t>Small herbivorous mammal (vole)</t>
  </si>
  <si>
    <t xml:space="preserve"> Frugivorous mammal (dormouse)</t>
  </si>
  <si>
    <t>Large herbivorous mammal (lagomorph)</t>
  </si>
  <si>
    <t xml:space="preserve"> Frugivorous mammal (rat)</t>
  </si>
  <si>
    <t>Small herbivorous mammal (mouse)</t>
  </si>
  <si>
    <t>Frugivorous mammal (dormouse)</t>
  </si>
  <si>
    <t>Small insectivorous mammal (vole)</t>
  </si>
  <si>
    <t>Small omnivorous mammal (shrew)</t>
  </si>
  <si>
    <t>How to proceed with the chronic Higher Tier MixTox assessment for mammals?</t>
  </si>
  <si>
    <t>Cell format:</t>
  </si>
  <si>
    <t>Description:</t>
  </si>
  <si>
    <t>The cell is not included into the assessment due to other input (e.g. number of active substances).</t>
  </si>
  <si>
    <t>Cell information is based on user input (i.e. not a calculation).</t>
  </si>
  <si>
    <t>Information missing from the input.</t>
  </si>
  <si>
    <t>Active substance parameters and calculations</t>
  </si>
  <si>
    <t>Input: Product composition</t>
  </si>
  <si>
    <t>Input: Birds</t>
  </si>
  <si>
    <t>Input: Mammals</t>
  </si>
  <si>
    <t>Acute Risk Assessment, Step 1 (Birds)</t>
  </si>
  <si>
    <t>Acute Risk Assessment, Step 1 (Mammals)</t>
  </si>
  <si>
    <t>No. of components ≥ i</t>
  </si>
  <si>
    <r>
      <t>C</t>
    </r>
    <r>
      <rPr>
        <vertAlign val="subscript"/>
        <sz val="10"/>
        <color theme="1"/>
        <rFont val="Tahoma"/>
        <family val="2"/>
      </rPr>
      <t>as[i]</t>
    </r>
    <r>
      <rPr>
        <sz val="10"/>
        <color theme="1"/>
        <rFont val="Tahoma"/>
        <family val="2"/>
      </rPr>
      <t xml:space="preserve"> / C</t>
    </r>
    <r>
      <rPr>
        <vertAlign val="subscript"/>
        <sz val="10"/>
        <color theme="1"/>
        <rFont val="Tahoma"/>
        <family val="2"/>
      </rPr>
      <t>mix</t>
    </r>
  </si>
  <si>
    <r>
      <t>LD</t>
    </r>
    <r>
      <rPr>
        <vertAlign val="subscript"/>
        <sz val="10"/>
        <color theme="1"/>
        <rFont val="Tahoma"/>
        <family val="2"/>
      </rPr>
      <t>50as[i]</t>
    </r>
    <r>
      <rPr>
        <sz val="10"/>
        <color theme="1"/>
        <rFont val="Tahoma"/>
        <family val="2"/>
      </rPr>
      <t xml:space="preserve"> / X</t>
    </r>
    <r>
      <rPr>
        <vertAlign val="subscript"/>
        <sz val="10"/>
        <color theme="1"/>
        <rFont val="Tahoma"/>
        <family val="2"/>
      </rPr>
      <t>as[i]</t>
    </r>
  </si>
  <si>
    <r>
      <t>tpf</t>
    </r>
    <r>
      <rPr>
        <vertAlign val="subscript"/>
        <sz val="10"/>
        <color theme="1"/>
        <rFont val="Tahoma"/>
        <family val="2"/>
      </rPr>
      <t xml:space="preserve">as[i] </t>
    </r>
    <r>
      <rPr>
        <sz val="10"/>
        <color theme="1"/>
        <rFont val="Tahoma"/>
        <family val="2"/>
      </rPr>
      <t>/ tpf</t>
    </r>
    <r>
      <rPr>
        <vertAlign val="subscript"/>
        <sz val="10"/>
        <color theme="1"/>
        <rFont val="Tahoma"/>
        <family val="2"/>
      </rPr>
      <t>mix</t>
    </r>
  </si>
  <si>
    <r>
      <t>X</t>
    </r>
    <r>
      <rPr>
        <vertAlign val="subscript"/>
        <sz val="10"/>
        <color theme="1"/>
        <rFont val="Tahoma"/>
        <family val="2"/>
      </rPr>
      <t>as[i]</t>
    </r>
    <r>
      <rPr>
        <sz val="10"/>
        <color theme="1"/>
        <rFont val="Tahoma"/>
        <family val="2"/>
      </rPr>
      <t xml:space="preserve"> / LD</t>
    </r>
    <r>
      <rPr>
        <vertAlign val="subscript"/>
        <sz val="10"/>
        <color theme="1"/>
        <rFont val="Tahoma"/>
        <family val="2"/>
      </rPr>
      <t>50as[i]</t>
    </r>
  </si>
  <si>
    <r>
      <t>tpf</t>
    </r>
    <r>
      <rPr>
        <vertAlign val="subscript"/>
        <sz val="10"/>
        <color theme="1"/>
        <rFont val="Tahoma"/>
        <family val="2"/>
      </rPr>
      <t xml:space="preserve">a.s.[i] </t>
    </r>
    <r>
      <rPr>
        <sz val="10"/>
        <color theme="1"/>
        <rFont val="Tahoma"/>
        <family val="2"/>
      </rPr>
      <t>/ tpf</t>
    </r>
    <r>
      <rPr>
        <vertAlign val="subscript"/>
        <sz val="10"/>
        <color theme="1"/>
        <rFont val="Tahoma"/>
        <family val="2"/>
      </rPr>
      <t>mix</t>
    </r>
  </si>
  <si>
    <t>TRUE/FALSE</t>
  </si>
  <si>
    <t>Text</t>
  </si>
  <si>
    <t>[g/L or g/kg]</t>
  </si>
  <si>
    <t>[%]</t>
  </si>
  <si>
    <t>[mg a.s./kg bw]</t>
  </si>
  <si>
    <t>[mg a.s./kg bw/d]</t>
  </si>
  <si>
    <t>i</t>
  </si>
  <si>
    <t>Active</t>
  </si>
  <si>
    <t>Name</t>
  </si>
  <si>
    <r>
      <rPr>
        <b/>
        <sz val="10"/>
        <color theme="0"/>
        <rFont val="Tahoma"/>
        <family val="2"/>
      </rPr>
      <t>C</t>
    </r>
    <r>
      <rPr>
        <b/>
        <vertAlign val="subscript"/>
        <sz val="10"/>
        <color theme="0"/>
        <rFont val="Tahoma"/>
        <family val="2"/>
      </rPr>
      <t>as</t>
    </r>
  </si>
  <si>
    <r>
      <t>X</t>
    </r>
    <r>
      <rPr>
        <b/>
        <vertAlign val="subscript"/>
        <sz val="10"/>
        <color theme="0"/>
        <rFont val="Tahoma"/>
        <family val="2"/>
      </rPr>
      <t>as</t>
    </r>
  </si>
  <si>
    <r>
      <t>B_LD</t>
    </r>
    <r>
      <rPr>
        <b/>
        <vertAlign val="subscript"/>
        <sz val="10"/>
        <color theme="0"/>
        <rFont val="Tahoma"/>
        <family val="2"/>
      </rPr>
      <t>50</t>
    </r>
  </si>
  <si>
    <t>B_NOAEL</t>
  </si>
  <si>
    <r>
      <t>M_LD</t>
    </r>
    <r>
      <rPr>
        <b/>
        <vertAlign val="subscript"/>
        <sz val="10"/>
        <color theme="0"/>
        <rFont val="Tahoma"/>
        <family val="2"/>
      </rPr>
      <t>50</t>
    </r>
  </si>
  <si>
    <t>M_NOAEL</t>
  </si>
  <si>
    <r>
      <t>B_tpf</t>
    </r>
    <r>
      <rPr>
        <b/>
        <vertAlign val="subscript"/>
        <sz val="10"/>
        <color theme="0"/>
        <rFont val="Tahoma"/>
        <family val="2"/>
      </rPr>
      <t>as</t>
    </r>
  </si>
  <si>
    <t>B_dev_tpfmix</t>
  </si>
  <si>
    <r>
      <t>B_ftp</t>
    </r>
    <r>
      <rPr>
        <b/>
        <vertAlign val="subscript"/>
        <sz val="10"/>
        <color theme="0"/>
        <rFont val="Tahoma"/>
        <family val="2"/>
      </rPr>
      <t>as</t>
    </r>
  </si>
  <si>
    <r>
      <t>B_contr_LD</t>
    </r>
    <r>
      <rPr>
        <b/>
        <vertAlign val="subscript"/>
        <sz val="10"/>
        <color theme="0"/>
        <rFont val="Tahoma"/>
        <family val="2"/>
      </rPr>
      <t>50mix</t>
    </r>
  </si>
  <si>
    <t>M_tpfas</t>
  </si>
  <si>
    <t>M_dev_tpfmix</t>
  </si>
  <si>
    <t>M_ftpas</t>
  </si>
  <si>
    <t>M_contr_LD50mix</t>
  </si>
  <si>
    <t>Substance ID number</t>
  </si>
  <si>
    <t>Indicates if the substance is included in the assessment. Rest of the columns rely on this.</t>
  </si>
  <si>
    <t>Name of the substace. If not defined, "Substance [i]" will be used.</t>
  </si>
  <si>
    <t>Concentration of the substance in the mixture.</t>
  </si>
  <si>
    <t>Fraction of the substance in the mixture</t>
  </si>
  <si>
    <r>
      <t>Acute LD</t>
    </r>
    <r>
      <rPr>
        <vertAlign val="subscript"/>
        <sz val="8"/>
        <rFont val="Tahoma"/>
        <family val="2"/>
      </rPr>
      <t>50</t>
    </r>
    <r>
      <rPr>
        <sz val="8"/>
        <rFont val="Tahoma"/>
        <family val="2"/>
      </rPr>
      <t xml:space="preserve"> of the substance on birds</t>
    </r>
  </si>
  <si>
    <t>Chronic (repro) NOAEL of the substance on birds</t>
  </si>
  <si>
    <r>
      <t>Acute LD</t>
    </r>
    <r>
      <rPr>
        <vertAlign val="subscript"/>
        <sz val="8"/>
        <rFont val="Tahoma"/>
        <family val="2"/>
      </rPr>
      <t>50</t>
    </r>
    <r>
      <rPr>
        <sz val="8"/>
        <rFont val="Tahoma"/>
        <family val="2"/>
      </rPr>
      <t xml:space="preserve"> of the substance on mammals</t>
    </r>
  </si>
  <si>
    <t>Chronic (repro) NOAEL of the substance on mammals</t>
  </si>
  <si>
    <t>Substance 'toxicity per fraction' (birds)</t>
  </si>
  <si>
    <t>Substance 'toxicity per fraction' deviation from mixture 'toxicity per fraction' (birds)</t>
  </si>
  <si>
    <t>Substance fraction per toxicity (birds)</t>
  </si>
  <si>
    <r>
      <t>Substance contribution to the bird surrogate LD</t>
    </r>
    <r>
      <rPr>
        <vertAlign val="subscript"/>
        <sz val="8"/>
        <rFont val="Tahoma"/>
        <family val="2"/>
      </rPr>
      <t>50</t>
    </r>
  </si>
  <si>
    <t>Substance 'toxicity per fraction' (mammals)</t>
  </si>
  <si>
    <t>Substance 'toxicity per fraction' deviation from mixture 'toxicity per fraction' (mammals)</t>
  </si>
  <si>
    <t>Substance fraction per toxicity (mammals)</t>
  </si>
  <si>
    <r>
      <t>Substance contribution to the mammal surrogate LD</t>
    </r>
    <r>
      <rPr>
        <vertAlign val="subscript"/>
        <sz val="8"/>
        <rFont val="Tahoma"/>
        <family val="2"/>
      </rPr>
      <t>50</t>
    </r>
  </si>
  <si>
    <t>EFSA GD 2009, Appendix B, p. 2</t>
  </si>
  <si>
    <t>Factor</t>
  </si>
  <si>
    <t>Calculation</t>
  </si>
  <si>
    <t>Unit</t>
  </si>
  <si>
    <t>Name of the product. If not defined, "Product" will be used.</t>
  </si>
  <si>
    <r>
      <t>C</t>
    </r>
    <r>
      <rPr>
        <b/>
        <vertAlign val="subscript"/>
        <sz val="10"/>
        <color theme="0"/>
        <rFont val="Tahoma"/>
        <family val="2"/>
      </rPr>
      <t>mix</t>
    </r>
  </si>
  <si>
    <r>
      <t>∑ C</t>
    </r>
    <r>
      <rPr>
        <vertAlign val="subscript"/>
        <sz val="10"/>
        <color theme="1"/>
        <rFont val="Tahoma"/>
        <family val="2"/>
      </rPr>
      <t>as[i]</t>
    </r>
  </si>
  <si>
    <t>[g/L]</t>
  </si>
  <si>
    <t>Sum concentration of substances in the product.</t>
  </si>
  <si>
    <r>
      <t>X</t>
    </r>
    <r>
      <rPr>
        <b/>
        <vertAlign val="subscript"/>
        <sz val="10"/>
        <color theme="0"/>
        <rFont val="Tahoma"/>
        <family val="2"/>
      </rPr>
      <t>mix</t>
    </r>
  </si>
  <si>
    <r>
      <t>∑ X</t>
    </r>
    <r>
      <rPr>
        <vertAlign val="subscript"/>
        <sz val="10"/>
        <color theme="1"/>
        <rFont val="Tahoma"/>
        <family val="2"/>
      </rPr>
      <t>as[i]</t>
    </r>
  </si>
  <si>
    <t>Sum fraction of substances in the product (= 1).</t>
  </si>
  <si>
    <t>Product parameters for risk assessment:</t>
  </si>
  <si>
    <t>Acute risk assessment</t>
  </si>
  <si>
    <t>Chronic Risk assessment</t>
  </si>
  <si>
    <r>
      <t>(∑ (Xf</t>
    </r>
    <r>
      <rPr>
        <vertAlign val="subscript"/>
        <sz val="10"/>
        <color theme="1"/>
        <rFont val="Tahoma"/>
        <family val="2"/>
      </rPr>
      <t xml:space="preserve">as[i] </t>
    </r>
    <r>
      <rPr>
        <sz val="10"/>
        <color theme="1"/>
        <rFont val="Tahoma"/>
        <family val="2"/>
      </rPr>
      <t>/ LD</t>
    </r>
    <r>
      <rPr>
        <vertAlign val="subscript"/>
        <sz val="10"/>
        <color theme="1"/>
        <rFont val="Tahoma"/>
        <family val="2"/>
      </rPr>
      <t>50 as[i]</t>
    </r>
    <r>
      <rPr>
        <sz val="10"/>
        <color theme="1"/>
        <rFont val="Tahoma"/>
        <family val="2"/>
      </rPr>
      <t>))</t>
    </r>
    <r>
      <rPr>
        <vertAlign val="superscript"/>
        <sz val="10"/>
        <color theme="1"/>
        <rFont val="Tahoma"/>
        <family val="2"/>
      </rPr>
      <t>-1</t>
    </r>
  </si>
  <si>
    <r>
      <t>LD50</t>
    </r>
    <r>
      <rPr>
        <vertAlign val="subscript"/>
        <sz val="10"/>
        <color theme="1"/>
        <rFont val="Tahoma"/>
        <family val="2"/>
      </rPr>
      <t>mix</t>
    </r>
    <r>
      <rPr>
        <vertAlign val="superscript"/>
        <sz val="10"/>
        <color theme="1"/>
        <rFont val="Tahoma"/>
        <family val="2"/>
      </rPr>
      <t>-1</t>
    </r>
    <r>
      <rPr>
        <sz val="10"/>
        <color theme="1"/>
        <rFont val="Tahoma"/>
        <family val="2"/>
      </rPr>
      <t xml:space="preserve"> - LD</t>
    </r>
    <r>
      <rPr>
        <vertAlign val="subscript"/>
        <sz val="10"/>
        <color theme="1"/>
        <rFont val="Tahoma"/>
        <family val="2"/>
      </rPr>
      <t>50form</t>
    </r>
    <r>
      <rPr>
        <vertAlign val="superscript"/>
        <sz val="10"/>
        <color theme="1"/>
        <rFont val="Tahoma"/>
        <family val="2"/>
      </rPr>
      <t>-1</t>
    </r>
  </si>
  <si>
    <r>
      <t>(LD50</t>
    </r>
    <r>
      <rPr>
        <vertAlign val="subscript"/>
        <sz val="10"/>
        <color theme="1"/>
        <rFont val="Tahoma"/>
        <family val="2"/>
      </rPr>
      <t>mix</t>
    </r>
    <r>
      <rPr>
        <vertAlign val="superscript"/>
        <sz val="10"/>
        <color theme="1"/>
        <rFont val="Tahoma"/>
        <family val="2"/>
      </rPr>
      <t>-1</t>
    </r>
    <r>
      <rPr>
        <sz val="10"/>
        <color theme="1"/>
        <rFont val="Tahoma"/>
        <family val="2"/>
      </rPr>
      <t xml:space="preserve"> - LD</t>
    </r>
    <r>
      <rPr>
        <vertAlign val="subscript"/>
        <sz val="10"/>
        <color theme="1"/>
        <rFont val="Tahoma"/>
        <family val="2"/>
      </rPr>
      <t>50form</t>
    </r>
    <r>
      <rPr>
        <vertAlign val="superscript"/>
        <sz val="10"/>
        <color theme="1"/>
        <rFont val="Tahoma"/>
        <family val="2"/>
      </rPr>
      <t>-1</t>
    </r>
    <r>
      <rPr>
        <sz val="10"/>
        <color theme="1"/>
        <rFont val="Tahoma"/>
        <family val="2"/>
      </rPr>
      <t>) &lt; 0</t>
    </r>
  </si>
  <si>
    <t>Lookup</t>
  </si>
  <si>
    <r>
      <t>0 &lt; (tpf</t>
    </r>
    <r>
      <rPr>
        <vertAlign val="subscript"/>
        <sz val="10"/>
        <color theme="1"/>
        <rFont val="Tahoma"/>
        <family val="2"/>
      </rPr>
      <t xml:space="preserve">as[i] </t>
    </r>
    <r>
      <rPr>
        <sz val="10"/>
        <color theme="1"/>
        <rFont val="Tahoma"/>
        <family val="2"/>
      </rPr>
      <t>/ tpf</t>
    </r>
    <r>
      <rPr>
        <vertAlign val="subscript"/>
        <sz val="10"/>
        <color theme="1"/>
        <rFont val="Tahoma"/>
        <family val="2"/>
      </rPr>
      <t>mix</t>
    </r>
    <r>
      <rPr>
        <sz val="10"/>
        <color theme="1"/>
        <rFont val="Tahoma"/>
        <family val="2"/>
      </rPr>
      <t xml:space="preserve">) </t>
    </r>
    <r>
      <rPr>
        <sz val="10"/>
        <color theme="1"/>
        <rFont val="Calibri"/>
        <family val="2"/>
      </rPr>
      <t>≤</t>
    </r>
    <r>
      <rPr>
        <sz val="10"/>
        <color theme="1"/>
        <rFont val="Tahoma"/>
        <family val="2"/>
      </rPr>
      <t xml:space="preserve"> 0.1 for any a.s.</t>
    </r>
    <r>
      <rPr>
        <vertAlign val="subscript"/>
        <sz val="10"/>
        <color theme="1"/>
        <rFont val="Tahoma"/>
        <family val="2"/>
      </rPr>
      <t>[i]</t>
    </r>
  </si>
  <si>
    <t>Type</t>
  </si>
  <si>
    <t>Dose-response, Limit test, Not available</t>
  </si>
  <si>
    <t>Yes/No</t>
  </si>
  <si>
    <r>
      <t>Surrogate, Formulation, Driver LD</t>
    </r>
    <r>
      <rPr>
        <vertAlign val="subscript"/>
        <sz val="8"/>
        <color theme="1"/>
        <rFont val="Tahoma"/>
        <family val="2"/>
      </rPr>
      <t xml:space="preserve">50 </t>
    </r>
  </si>
  <si>
    <t>HIsum / C(mix)</t>
  </si>
  <si>
    <t>Assessment</t>
  </si>
  <si>
    <t>Acute test</t>
  </si>
  <si>
    <r>
      <t>LD</t>
    </r>
    <r>
      <rPr>
        <b/>
        <vertAlign val="subscript"/>
        <sz val="10"/>
        <color theme="0"/>
        <rFont val="Tahoma"/>
        <family val="2"/>
      </rPr>
      <t>50form</t>
    </r>
  </si>
  <si>
    <t>Chronic test</t>
  </si>
  <si>
    <r>
      <t>LD</t>
    </r>
    <r>
      <rPr>
        <b/>
        <vertAlign val="subscript"/>
        <sz val="10"/>
        <color theme="0"/>
        <rFont val="Tahoma"/>
        <family val="2"/>
      </rPr>
      <t>50mix</t>
    </r>
  </si>
  <si>
    <t>Acute meas-vs-pred</t>
  </si>
  <si>
    <t>Acute PPP Limit-test relevance</t>
  </si>
  <si>
    <t>Used Acute endpoint type</t>
  </si>
  <si>
    <t>Used Acute endpoint value</t>
  </si>
  <si>
    <t>Acute toxicity Driver</t>
  </si>
  <si>
    <t>Acute toxicity driver name</t>
  </si>
  <si>
    <r>
      <t>Acute toxicity Driver LD</t>
    </r>
    <r>
      <rPr>
        <b/>
        <vertAlign val="subscript"/>
        <sz val="10"/>
        <color theme="0"/>
        <rFont val="Tahoma"/>
        <family val="2"/>
      </rPr>
      <t>50</t>
    </r>
  </si>
  <si>
    <t>Chronic PPP test relevance</t>
  </si>
  <si>
    <t>Chronic Assessment Scheme</t>
  </si>
  <si>
    <t>Vertebrate group under assessment.</t>
  </si>
  <si>
    <t>Acute formulation study type. If not defined, or the value is left empty, "Not available" will be used.</t>
  </si>
  <si>
    <t>Endpoint value of the acute formulation study.</t>
  </si>
  <si>
    <t>Chronic (repro) study on the formulation. Default value 'Not available'.</t>
  </si>
  <si>
    <t>Endpoint value of the chronic (repro) study with the formulation.</t>
  </si>
  <si>
    <r>
      <t>Surrogate LD</t>
    </r>
    <r>
      <rPr>
        <vertAlign val="subscript"/>
        <sz val="8"/>
        <rFont val="Tahoma"/>
        <family val="2"/>
      </rPr>
      <t>50(mix)</t>
    </r>
    <r>
      <rPr>
        <sz val="8"/>
        <rFont val="Tahoma"/>
        <family val="2"/>
      </rPr>
      <t xml:space="preserve"> for the product. Equivalent to 'toxicity per fraction' of the product.</t>
    </r>
  </si>
  <si>
    <r>
      <t>Comparison of measured LD</t>
    </r>
    <r>
      <rPr>
        <vertAlign val="subscript"/>
        <sz val="8"/>
        <rFont val="Tahoma"/>
        <family val="2"/>
      </rPr>
      <t>50</t>
    </r>
    <r>
      <rPr>
        <sz val="8"/>
        <rFont val="Tahoma"/>
        <family val="2"/>
      </rPr>
      <t xml:space="preserve"> and calculated surrogate LD</t>
    </r>
    <r>
      <rPr>
        <vertAlign val="subscript"/>
        <sz val="8"/>
        <rFont val="Tahoma"/>
        <family val="2"/>
      </rPr>
      <t>50(mix)</t>
    </r>
    <r>
      <rPr>
        <sz val="8"/>
        <rFont val="Tahoma"/>
        <family val="2"/>
      </rPr>
      <t>.</t>
    </r>
  </si>
  <si>
    <t>Is the limit test data relevant for the assessment?</t>
  </si>
  <si>
    <t>Selected acute endpoint for the risk assessment. Depends on the Driver-identification, provided formulation data and comparison of measured-predicted toxicity.</t>
  </si>
  <si>
    <t>Value of the selected endpoint</t>
  </si>
  <si>
    <r>
      <t>Indicates if a single substance is driving the risk (</t>
    </r>
    <r>
      <rPr>
        <sz val="8"/>
        <rFont val="Calibri"/>
        <family val="2"/>
      </rPr>
      <t>≥</t>
    </r>
    <r>
      <rPr>
        <sz val="8"/>
        <rFont val="Tahoma"/>
        <family val="2"/>
      </rPr>
      <t xml:space="preserve"> 90 % contribution to the LD</t>
    </r>
    <r>
      <rPr>
        <vertAlign val="subscript"/>
        <sz val="8"/>
        <rFont val="Tahoma"/>
        <family val="2"/>
      </rPr>
      <t>50mix</t>
    </r>
    <r>
      <rPr>
        <sz val="8"/>
        <rFont val="Tahoma"/>
        <family val="2"/>
      </rPr>
      <t>).</t>
    </r>
  </si>
  <si>
    <t>Identifies a single substance driving the risk, if a driver is identified.</t>
  </si>
  <si>
    <t>Endpoint of the substance driving the risk, if a driver is identified.</t>
  </si>
  <si>
    <t>EFSA GD 2009, Appendix B, p. 3</t>
  </si>
  <si>
    <t>Input completeness check:</t>
  </si>
  <si>
    <t>Risk assessment steps</t>
  </si>
  <si>
    <t>Requirement</t>
  </si>
  <si>
    <t>Section</t>
  </si>
  <si>
    <t>Step</t>
  </si>
  <si>
    <t>Terms</t>
  </si>
  <si>
    <t>ActiveStep_Birds</t>
  </si>
  <si>
    <t>Next step (birds)</t>
  </si>
  <si>
    <t>HowToProceed_Birds</t>
  </si>
  <si>
    <t>ActiveStep_Mammals</t>
  </si>
  <si>
    <t>Next step (mammals)</t>
  </si>
  <si>
    <t>HowToProceed_Mammals</t>
  </si>
  <si>
    <t>Product composition</t>
  </si>
  <si>
    <t>Number of components and concentration of each component is defined.</t>
  </si>
  <si>
    <t>Acute</t>
  </si>
  <si>
    <t>Product composition and acute toxicity of substance(s) are defined.</t>
  </si>
  <si>
    <t>Formulation acute toxicity</t>
  </si>
  <si>
    <t>Acute formulation study is either "Not available", or it is defined along with the respective endpoint value (LD50).</t>
  </si>
  <si>
    <t>Step 1 is active, formulation data has been inserted and no a.s. is driving the risk</t>
  </si>
  <si>
    <t>Formulation chronic toxicity</t>
  </si>
  <si>
    <t>Chronic formulation study is either "Not available", or it is defined along with the respective endpoint value (NOAEL).</t>
  </si>
  <si>
    <t>Step 1 is active and ≥ 1 scenarios have been fully defined.</t>
  </si>
  <si>
    <t>Substance acute toxicity</t>
  </si>
  <si>
    <t>LD50 is defined for each substance.</t>
  </si>
  <si>
    <t>Chronic</t>
  </si>
  <si>
    <t>Product composition, chronic toxicity of each substance and ≥ 1 scenario(s) have been defined.</t>
  </si>
  <si>
    <t>Substance chronic toxicity</t>
  </si>
  <si>
    <t>NOAEL is defined for each substance</t>
  </si>
  <si>
    <t>Indicates whether the Bird risk assessment Step is active (TRUE) or inactive (FALSE).</t>
  </si>
  <si>
    <t>Indicates the next relevant Step in the bird risk assessment</t>
  </si>
  <si>
    <t>Takes the relevant 'How to proceed' text from the text-templates (below).</t>
  </si>
  <si>
    <t>Indicates whether the Mammal risk assessment Step is active (TRUE) or inactive (FALSE).</t>
  </si>
  <si>
    <t>Indicates the next relevant Step in the mammal risk assessment</t>
  </si>
  <si>
    <t>Scenario</t>
  </si>
  <si>
    <t>At least 1 scenario is fully defined,  i.e. Application rate and Number of applications (and application interval, if &gt; 1 applications).</t>
  </si>
  <si>
    <t>Text templates:</t>
  </si>
  <si>
    <t>Incomplete input</t>
  </si>
  <si>
    <t>Fill in the required information in the 'Input' sheet.</t>
  </si>
  <si>
    <t>Single substance driving the risk</t>
  </si>
  <si>
    <t xml:space="preserve"> is identified as driver of risk assessment, no further assessment with the mixture is necessary. The risk assessment can be performed based on this active substance alone.</t>
  </si>
  <si>
    <t>Single substance not driving the risk and formulation data is available</t>
  </si>
  <si>
    <t>No single substance is identified as the driver of the risk assessment.  Prodceed with comparing the predicted and measured toxicity.</t>
  </si>
  <si>
    <t>Single substance not driving the risk and formulation data is not available</t>
  </si>
  <si>
    <t>No single substance is identified as the driver of the risk assessment.  Proceed to the mixture risk assessment (no formulation data available).</t>
  </si>
  <si>
    <t>Reliable formulation study shows lower toxicity compared to the surrogate LD50</t>
  </si>
  <si>
    <t>Proceed to the risk assessment. Use the calculated surrogate LD50 of the mixture (LD50mix) as the toxicity endpoint.</t>
  </si>
  <si>
    <t>Reliable formulation study shows higher toxicity compared to the surrogate LD50</t>
  </si>
  <si>
    <t>Proceed to the risk assessment and use the LD50 from the study with the formulated product as the toxicity endpoint.</t>
  </si>
  <si>
    <t>Tier 1 scenarios &amp; number of species per scenario</t>
  </si>
  <si>
    <t>Tier 1 Mammals</t>
  </si>
  <si>
    <t>Tier 1 Birds</t>
  </si>
  <si>
    <t>Group</t>
  </si>
  <si>
    <t>SV90</t>
  </si>
  <si>
    <t>SVm</t>
  </si>
  <si>
    <t>Wood mouse (Apodemus sylvaticus)</t>
  </si>
  <si>
    <t>Linnet (Carduelis cannabina)</t>
  </si>
  <si>
    <t>Common shrew (Sorex araneus)</t>
  </si>
  <si>
    <t>Woodlark (Lullula arborea)</t>
  </si>
  <si>
    <t>Yellow wagtail (Motacilla flava)</t>
  </si>
  <si>
    <t>Common vole (Microtus arvalis)</t>
  </si>
  <si>
    <t>Blackcap (Sylvia atricapilla)</t>
  </si>
  <si>
    <t>Willow warbler (Phylloscopus trochilus)</t>
  </si>
  <si>
    <t>Pink-foot goose (Anser brachyrhynchus)</t>
  </si>
  <si>
    <t>Garden dormouse (Eliomys quercinus)</t>
  </si>
  <si>
    <t>Yellowhammer (Emberiza citronella)</t>
  </si>
  <si>
    <t>Collared Pratincoles (Glareola pratincola)</t>
  </si>
  <si>
    <t>Rabbit (Oryctolagus cuniculus)</t>
  </si>
  <si>
    <t>House sparrow (Passer domesticus)</t>
  </si>
  <si>
    <t>Crow (Corvus branchyrhynchos)</t>
  </si>
  <si>
    <t>Common vole (Sorex araneus)</t>
  </si>
  <si>
    <t>Starling (Sturnus vulgaris)</t>
  </si>
  <si>
    <t>Chaffinch (Gringilla coelebs)</t>
  </si>
  <si>
    <t>Brown rat (Rattus norvegicus)</t>
  </si>
  <si>
    <t>Brown hare (Lepus europaeus)</t>
  </si>
  <si>
    <t>Goldfinch (Carduelis carduelis)</t>
  </si>
  <si>
    <t>Serin (Serinus serinus)</t>
  </si>
  <si>
    <t>Wood pigeon (Columba palumbus)</t>
  </si>
  <si>
    <t>Patridge (Perdix perdix)</t>
  </si>
  <si>
    <t>Robin (Erithacus rubecula)</t>
  </si>
  <si>
    <t>Greylag goose (Anser anser)</t>
  </si>
  <si>
    <t>Dunnoc (Prunella modularis)</t>
  </si>
  <si>
    <t>Bluetit (Parus caeruleus)</t>
  </si>
  <si>
    <t>Black Redstart (Phoenicurus ochruros)</t>
  </si>
  <si>
    <t>Song Thrush (Turdos philomelos)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</si>
</sst>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00"/>
    <numFmt numFmtId="165" formatCode="0.0"/>
    <numFmt numFmtId="166" formatCode="0.00000"/>
    <numFmt numFmtId="167" formatCode="0.0000"/>
    <numFmt numFmtId="168" formatCode="0.0\ %"/>
    <numFmt numFmtId="169" formatCode="0.000000"/>
    <numFmt numFmtId="170" formatCode="0.0E+00"/>
  </numFmts>
  <fonts count="91">
    <font>
      <sz val="11"/>
      <color theme="1"/>
      <name val="Calibri"/>
      <family val="2"/>
      <scheme val="minor"/>
    </font>
    <font>
      <b/>
      <sz val="11"/>
      <color theme="1"/>
      <name val="Calibri"/>
      <family val="2"/>
      <scheme val="minor"/>
    </font>
    <font>
      <sz val="11"/>
      <color rgb="FF9C6500"/>
      <name val="Calibri"/>
      <family val="2"/>
      <scheme val="minor"/>
    </font>
    <font>
      <b/>
      <sz val="11"/>
      <color theme="0"/>
      <name val="Calibri"/>
      <family val="2"/>
      <scheme val="minor"/>
    </font>
    <font>
      <sz val="11"/>
      <color theme="1"/>
      <name val="Calibri"/>
      <family val="2"/>
      <scheme val="minor"/>
    </font>
    <font>
      <b/>
      <sz val="11"/>
      <color theme="0"/>
      <name val="Tahoma"/>
      <family val="2"/>
    </font>
    <font>
      <sz val="11"/>
      <name val="Tahoma"/>
      <family val="2"/>
    </font>
    <font>
      <sz val="11"/>
      <color theme="1"/>
      <name val="Tahoma"/>
      <family val="2"/>
    </font>
    <font>
      <sz val="11"/>
      <color theme="1"/>
      <name val="Arial"/>
      <family val="2"/>
    </font>
    <font>
      <sz val="11"/>
      <color theme="0"/>
      <name val="Arial"/>
      <family val="2"/>
    </font>
    <font>
      <b/>
      <sz val="14"/>
      <color theme="0"/>
      <name val="Arial"/>
      <family val="2"/>
    </font>
    <font>
      <b/>
      <sz val="11"/>
      <color theme="0"/>
      <name val="Arial"/>
      <family val="2"/>
    </font>
    <font>
      <b/>
      <sz val="11"/>
      <color theme="1"/>
      <name val="Arial"/>
      <family val="2"/>
    </font>
    <font>
      <vertAlign val="subscript"/>
      <sz val="11"/>
      <color theme="1"/>
      <name val="Arial"/>
      <family val="2"/>
    </font>
    <font>
      <b/>
      <u/>
      <sz val="11"/>
      <color theme="8" tint="-0.249977111117893"/>
      <name val="Arial"/>
      <family val="2"/>
    </font>
    <font>
      <b/>
      <sz val="11"/>
      <color theme="8" tint="-0.249977111117893"/>
      <name val="Arial"/>
      <family val="2"/>
    </font>
    <font>
      <sz val="11"/>
      <name val="Arial"/>
      <family val="2"/>
    </font>
    <font>
      <sz val="10"/>
      <color theme="1"/>
      <name val="Arial"/>
      <family val="2"/>
    </font>
    <font>
      <sz val="10"/>
      <color theme="0"/>
      <name val="Arial"/>
      <family val="2"/>
    </font>
    <font>
      <b/>
      <sz val="10"/>
      <color theme="0"/>
      <name val="Arial"/>
      <family val="2"/>
    </font>
    <font>
      <b/>
      <sz val="10"/>
      <color theme="1"/>
      <name val="Arial"/>
      <family val="2"/>
    </font>
    <font>
      <sz val="10"/>
      <color theme="7" tint="-0.499984740745262"/>
      <name val="Arial"/>
      <family val="2"/>
    </font>
    <font>
      <sz val="10"/>
      <name val="Arial"/>
      <family val="2"/>
    </font>
    <font>
      <b/>
      <sz val="10"/>
      <color rgb="FF0000FF"/>
      <name val="Arial"/>
      <family val="2"/>
    </font>
    <font>
      <sz val="10"/>
      <color theme="9" tint="-0.499984740745262"/>
      <name val="Arial"/>
      <family val="2"/>
    </font>
    <font>
      <sz val="10"/>
      <color rgb="FFC00000"/>
      <name val="Arial"/>
      <family val="2"/>
    </font>
    <font>
      <strike/>
      <sz val="10"/>
      <color theme="1"/>
      <name val="Arial"/>
      <family val="2"/>
    </font>
    <font>
      <sz val="10"/>
      <color theme="4" tint="0.79998168889431442"/>
      <name val="Arial"/>
      <family val="2"/>
    </font>
    <font>
      <sz val="11"/>
      <color theme="4" tint="0.79998168889431442"/>
      <name val="Arial"/>
      <family val="2"/>
    </font>
    <font>
      <sz val="11"/>
      <color rgb="FF9C6500"/>
      <name val="Arial"/>
      <family val="2"/>
    </font>
    <font>
      <b/>
      <vertAlign val="subscript"/>
      <sz val="10"/>
      <color theme="0"/>
      <name val="Arial"/>
      <family val="2"/>
    </font>
    <font>
      <sz val="10"/>
      <color rgb="FF0070C0"/>
      <name val="Arial"/>
      <family val="2"/>
    </font>
    <font>
      <b/>
      <sz val="11"/>
      <color theme="4" tint="-0.499984740745262"/>
      <name val="Arial"/>
      <family val="2"/>
    </font>
    <font>
      <b/>
      <sz val="10"/>
      <name val="Arial"/>
      <family val="2"/>
    </font>
    <font>
      <sz val="8"/>
      <color theme="1"/>
      <name val="Arial"/>
      <family val="2"/>
    </font>
    <font>
      <b/>
      <sz val="14"/>
      <color theme="1"/>
      <name val="Arial"/>
      <family val="2"/>
    </font>
    <font>
      <sz val="11"/>
      <color theme="9" tint="-0.499984740745262"/>
      <name val="Arial"/>
      <family val="2"/>
    </font>
    <font>
      <sz val="11"/>
      <color rgb="FFC00000"/>
      <name val="Arial"/>
      <family val="2"/>
    </font>
    <font>
      <b/>
      <sz val="12"/>
      <color theme="0"/>
      <name val="Arial"/>
      <family val="2"/>
    </font>
    <font>
      <b/>
      <sz val="9"/>
      <color theme="0"/>
      <name val="Arial"/>
      <family val="2"/>
    </font>
    <font>
      <b/>
      <sz val="9"/>
      <color theme="4" tint="0.79998168889431442"/>
      <name val="Arial"/>
      <family val="2"/>
    </font>
    <font>
      <b/>
      <vertAlign val="subscript"/>
      <sz val="9"/>
      <color theme="4" tint="0.79998168889431442"/>
      <name val="Arial"/>
      <family val="2"/>
    </font>
    <font>
      <sz val="9"/>
      <color theme="4" tint="0.79998168889431442"/>
      <name val="Arial"/>
      <family val="2"/>
    </font>
    <font>
      <sz val="9"/>
      <color theme="1"/>
      <name val="Arial"/>
      <family val="2"/>
    </font>
    <font>
      <sz val="9"/>
      <color theme="0"/>
      <name val="Arial"/>
      <family val="2"/>
    </font>
    <font>
      <sz val="12"/>
      <color theme="0"/>
      <name val="Arial"/>
      <family val="2"/>
    </font>
    <font>
      <b/>
      <sz val="11"/>
      <color theme="4" tint="0.79998168889431442"/>
      <name val="Arial"/>
      <family val="2"/>
    </font>
    <font>
      <b/>
      <sz val="11"/>
      <name val="Arial"/>
      <family val="2"/>
    </font>
    <font>
      <vertAlign val="subscript"/>
      <sz val="11"/>
      <name val="Arial"/>
      <family val="2"/>
    </font>
    <font>
      <b/>
      <vertAlign val="subscript"/>
      <sz val="11"/>
      <color theme="0"/>
      <name val="Arial"/>
      <family val="2"/>
    </font>
    <font>
      <b/>
      <u/>
      <sz val="11"/>
      <color theme="8" tint="-0.499984740745262"/>
      <name val="Arial"/>
      <family val="2"/>
    </font>
    <font>
      <sz val="10"/>
      <color theme="0" tint="-0.499984740745262"/>
      <name val="Arial"/>
      <family val="2"/>
    </font>
    <font>
      <sz val="9"/>
      <name val="Arial"/>
      <family val="2"/>
    </font>
    <font>
      <u/>
      <sz val="11"/>
      <color theme="10"/>
      <name val="Calibri"/>
      <family val="2"/>
      <scheme val="minor"/>
    </font>
    <font>
      <sz val="9"/>
      <color theme="6" tint="0.79998168889431442"/>
      <name val="Arial"/>
      <family val="2"/>
    </font>
    <font>
      <sz val="11"/>
      <color theme="8" tint="-0.249977111117893"/>
      <name val="Arial"/>
      <family val="2"/>
    </font>
    <font>
      <b/>
      <sz val="10"/>
      <color theme="8" tint="-0.249977111117893"/>
      <name val="Arial"/>
      <family val="2"/>
    </font>
    <font>
      <b/>
      <sz val="12"/>
      <color theme="8" tint="-0.249977111117893"/>
      <name val="Arial"/>
      <family val="2"/>
    </font>
    <font>
      <b/>
      <u/>
      <sz val="12"/>
      <color theme="8" tint="-0.249977111117893"/>
      <name val="Arial"/>
      <family val="2"/>
    </font>
    <font>
      <sz val="18"/>
      <color rgb="FFFF0000"/>
      <name val="Elephant"/>
      <family val="1"/>
    </font>
    <font>
      <sz val="14"/>
      <color rgb="FFFF0000"/>
      <name val="Arial"/>
      <family val="2"/>
    </font>
    <font>
      <sz val="18"/>
      <color theme="9"/>
      <name val="Elephant"/>
      <family val="1"/>
    </font>
    <font>
      <sz val="18"/>
      <color theme="9"/>
      <name val="Arial"/>
      <family val="2"/>
    </font>
    <font>
      <sz val="10"/>
      <color theme="1"/>
      <name val="Tahoma"/>
      <family val="2"/>
    </font>
    <font>
      <vertAlign val="subscript"/>
      <sz val="10"/>
      <color theme="1"/>
      <name val="Tahoma"/>
      <family val="2"/>
    </font>
    <font>
      <b/>
      <sz val="10"/>
      <color theme="0"/>
      <name val="Tahoma"/>
      <family val="2"/>
    </font>
    <font>
      <b/>
      <vertAlign val="subscript"/>
      <sz val="10"/>
      <color theme="0"/>
      <name val="Tahoma"/>
      <family val="2"/>
    </font>
    <font>
      <b/>
      <sz val="10"/>
      <color theme="1"/>
      <name val="Tahoma"/>
      <family val="2"/>
    </font>
    <font>
      <sz val="10"/>
      <name val="Tahoma"/>
      <family val="2"/>
    </font>
    <font>
      <vertAlign val="superscript"/>
      <sz val="10"/>
      <color theme="1"/>
      <name val="Tahoma"/>
      <family val="2"/>
    </font>
    <font>
      <sz val="8"/>
      <name val="Tahoma"/>
      <family val="2"/>
    </font>
    <font>
      <sz val="8"/>
      <color theme="1"/>
      <name val="Tahoma"/>
      <family val="2"/>
    </font>
    <font>
      <sz val="9"/>
      <color theme="1"/>
      <name val="Tahoma"/>
      <family val="2"/>
    </font>
    <font>
      <sz val="8"/>
      <name val="Calibri"/>
      <family val="2"/>
      <scheme val="minor"/>
    </font>
    <font>
      <sz val="20"/>
      <color theme="9"/>
      <name val="Arial"/>
      <family val="2"/>
    </font>
    <font>
      <sz val="10"/>
      <color rgb="FFFF0000"/>
      <name val="Arial"/>
      <family val="2"/>
    </font>
    <font>
      <vertAlign val="subscript"/>
      <sz val="8"/>
      <name val="Tahoma"/>
      <family val="2"/>
    </font>
    <font>
      <sz val="8"/>
      <name val="Calibri"/>
      <family val="2"/>
    </font>
    <font>
      <sz val="16"/>
      <color rgb="FFFF0000"/>
      <name val="Arial"/>
      <family val="2"/>
    </font>
    <font>
      <b/>
      <sz val="9"/>
      <color theme="1"/>
      <name val="Arial"/>
      <family val="2"/>
    </font>
    <font>
      <vertAlign val="superscript"/>
      <sz val="9"/>
      <color theme="1"/>
      <name val="Arial"/>
      <family val="2"/>
    </font>
    <font>
      <vertAlign val="subscript"/>
      <sz val="9"/>
      <color theme="1"/>
      <name val="Arial"/>
      <family val="2"/>
    </font>
    <font>
      <u/>
      <sz val="9"/>
      <color theme="10"/>
      <name val="Arial"/>
      <family val="2"/>
    </font>
    <font>
      <sz val="11"/>
      <name val="Calibri"/>
      <family val="2"/>
      <scheme val="minor"/>
    </font>
    <font>
      <b/>
      <vertAlign val="subscript"/>
      <sz val="9"/>
      <color theme="0"/>
      <name val="Arial"/>
      <family val="2"/>
    </font>
    <font>
      <sz val="11"/>
      <color rgb="FFFF0000"/>
      <name val="Arial"/>
      <family val="2"/>
    </font>
    <font>
      <sz val="16"/>
      <color rgb="FFFF0000"/>
      <name val="Elephant"/>
      <family val="1"/>
    </font>
    <font>
      <i/>
      <sz val="8"/>
      <color theme="1"/>
      <name val="Tahoma"/>
      <family val="2"/>
    </font>
    <font>
      <sz val="10"/>
      <color theme="1"/>
      <name val="Calibri"/>
      <family val="2"/>
    </font>
    <font>
      <vertAlign val="subscript"/>
      <sz val="8"/>
      <color theme="1"/>
      <name val="Tahoma"/>
      <family val="2"/>
    </font>
    <font>
      <b/>
      <sz val="10"/>
      <color rgb="FFFF0000"/>
      <name val="Arial"/>
      <family val="2"/>
    </font>
  </fonts>
  <fills count="21">
    <fill>
      <patternFill patternType="none"/>
    </fill>
    <fill>
      <patternFill patternType="gray125"/>
    </fill>
    <fill>
      <patternFill patternType="solid">
        <fgColor rgb="FFECEBE0"/>
        <bgColor indexed="64"/>
      </patternFill>
    </fill>
    <fill>
      <patternFill patternType="solid">
        <fgColor rgb="FFFFEB9C"/>
      </patternFill>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rgb="FFFF9999"/>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bgColor theme="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lightUp">
        <fgColor theme="0" tint="-0.14996795556505021"/>
        <bgColor theme="0"/>
      </patternFill>
    </fill>
    <fill>
      <patternFill patternType="solid">
        <fgColor rgb="FFFFC1C1"/>
        <bgColor indexed="64"/>
      </patternFill>
    </fill>
    <fill>
      <patternFill patternType="solid">
        <fgColor theme="6" tint="0.39997558519241921"/>
        <bgColor indexed="64"/>
      </patternFill>
    </fill>
    <fill>
      <patternFill patternType="solid">
        <fgColor theme="6" tint="0.59999389629810485"/>
        <bgColor indexed="64"/>
      </patternFill>
    </fill>
    <fill>
      <patternFill patternType="lightUp">
        <fgColor theme="0" tint="-0.34998626667073579"/>
        <bgColor theme="0"/>
      </patternFill>
    </fill>
    <fill>
      <patternFill patternType="solid">
        <fgColor theme="4" tint="0.79998168889431442"/>
        <bgColor theme="0"/>
      </patternFill>
    </fill>
    <fill>
      <patternFill patternType="solid">
        <fgColor rgb="FFFFA3A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FBF93"/>
      </left>
      <right/>
      <top style="thin">
        <color rgb="FFBFBF93"/>
      </top>
      <bottom style="thin">
        <color rgb="FFBFBF93"/>
      </bottom>
      <diagonal/>
    </border>
    <border>
      <left/>
      <right style="thin">
        <color rgb="FFBFBF93"/>
      </right>
      <top style="thin">
        <color rgb="FFBFBF93"/>
      </top>
      <bottom style="thin">
        <color rgb="FFBFBF93"/>
      </bottom>
      <diagonal/>
    </border>
    <border>
      <left/>
      <right/>
      <top style="thin">
        <color rgb="FFBFBF93"/>
      </top>
      <bottom style="thin">
        <color rgb="FFBFBF93"/>
      </bottom>
      <diagonal/>
    </border>
    <border>
      <left style="thin">
        <color rgb="FFBFBF93"/>
      </left>
      <right/>
      <top/>
      <bottom style="thin">
        <color rgb="FFBFBF93"/>
      </bottom>
      <diagonal/>
    </border>
    <border>
      <left/>
      <right style="thin">
        <color rgb="FFBFBF93"/>
      </right>
      <top/>
      <bottom style="thin">
        <color rgb="FFBFBF93"/>
      </bottom>
      <diagonal/>
    </border>
    <border>
      <left/>
      <right/>
      <top/>
      <bottom style="thin">
        <color rgb="FFBFBF93"/>
      </bottom>
      <diagonal/>
    </border>
    <border>
      <left style="medium">
        <color rgb="FFBFBF93"/>
      </left>
      <right/>
      <top style="medium">
        <color rgb="FFBFBF93"/>
      </top>
      <bottom style="medium">
        <color rgb="FFBFBF93"/>
      </bottom>
      <diagonal/>
    </border>
    <border>
      <left/>
      <right style="thin">
        <color rgb="FFBFBF93"/>
      </right>
      <top style="medium">
        <color rgb="FFBFBF93"/>
      </top>
      <bottom style="medium">
        <color rgb="FFBFBF93"/>
      </bottom>
      <diagonal/>
    </border>
    <border>
      <left style="thin">
        <color rgb="FFBFBF93"/>
      </left>
      <right/>
      <top style="medium">
        <color rgb="FFBFBF93"/>
      </top>
      <bottom style="medium">
        <color rgb="FFBFBF93"/>
      </bottom>
      <diagonal/>
    </border>
    <border>
      <left/>
      <right/>
      <top style="medium">
        <color rgb="FFBFBF93"/>
      </top>
      <bottom style="medium">
        <color rgb="FFBFBF93"/>
      </bottom>
      <diagonal/>
    </border>
    <border>
      <left/>
      <right style="medium">
        <color rgb="FFBFBF93"/>
      </right>
      <top style="medium">
        <color rgb="FFBFBF93"/>
      </top>
      <bottom style="medium">
        <color rgb="FFBFBF93"/>
      </bottom>
      <diagonal/>
    </border>
    <border>
      <left style="medium">
        <color rgb="FFBFBF93"/>
      </left>
      <right/>
      <top/>
      <bottom style="thin">
        <color rgb="FFBFBF93"/>
      </bottom>
      <diagonal/>
    </border>
    <border>
      <left/>
      <right style="medium">
        <color rgb="FFBFBF93"/>
      </right>
      <top/>
      <bottom style="thin">
        <color rgb="FFBFBF93"/>
      </bottom>
      <diagonal/>
    </border>
    <border>
      <left style="medium">
        <color rgb="FFBFBF93"/>
      </left>
      <right/>
      <top style="thin">
        <color rgb="FFBFBF93"/>
      </top>
      <bottom style="thin">
        <color rgb="FFBFBF93"/>
      </bottom>
      <diagonal/>
    </border>
    <border>
      <left/>
      <right style="medium">
        <color rgb="FFBFBF93"/>
      </right>
      <top style="thin">
        <color rgb="FFBFBF93"/>
      </top>
      <bottom style="thin">
        <color rgb="FFBFBF93"/>
      </bottom>
      <diagonal/>
    </border>
    <border>
      <left style="medium">
        <color rgb="FFBFBF93"/>
      </left>
      <right/>
      <top style="thin">
        <color rgb="FFBFBF93"/>
      </top>
      <bottom style="medium">
        <color rgb="FFBFBF93"/>
      </bottom>
      <diagonal/>
    </border>
    <border>
      <left/>
      <right style="thin">
        <color rgb="FFBFBF93"/>
      </right>
      <top style="thin">
        <color rgb="FFBFBF93"/>
      </top>
      <bottom style="medium">
        <color rgb="FFBFBF93"/>
      </bottom>
      <diagonal/>
    </border>
    <border>
      <left style="thin">
        <color rgb="FFBFBF93"/>
      </left>
      <right/>
      <top style="thin">
        <color rgb="FFBFBF93"/>
      </top>
      <bottom style="medium">
        <color rgb="FFBFBF93"/>
      </bottom>
      <diagonal/>
    </border>
    <border>
      <left/>
      <right/>
      <top style="thin">
        <color rgb="FFBFBF93"/>
      </top>
      <bottom style="medium">
        <color rgb="FFBFBF93"/>
      </bottom>
      <diagonal/>
    </border>
    <border>
      <left/>
      <right style="medium">
        <color rgb="FFBFBF93"/>
      </right>
      <top style="thin">
        <color rgb="FFBFBF93"/>
      </top>
      <bottom style="medium">
        <color rgb="FFBFBF93"/>
      </bottom>
      <diagonal/>
    </border>
    <border>
      <left/>
      <right/>
      <top style="thin">
        <color theme="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8" tint="-0.499984740745262"/>
      </bottom>
      <diagonal/>
    </border>
    <border>
      <left style="thin">
        <color indexed="64"/>
      </left>
      <right style="thin">
        <color indexed="64"/>
      </right>
      <top style="thin">
        <color theme="8" tint="-0.499984740745262"/>
      </top>
      <bottom style="thin">
        <color indexed="64"/>
      </bottom>
      <diagonal/>
    </border>
    <border>
      <left style="thin">
        <color indexed="64"/>
      </left>
      <right style="thin">
        <color indexed="64"/>
      </right>
      <top style="thin">
        <color indexed="64"/>
      </top>
      <bottom style="thin">
        <color theme="4" tint="0.39997558519241921"/>
      </bottom>
      <diagonal/>
    </border>
  </borders>
  <cellStyleXfs count="5">
    <xf numFmtId="0" fontId="0" fillId="0" borderId="0"/>
    <xf numFmtId="0" fontId="2" fillId="3" borderId="0" applyNumberFormat="0" applyBorder="0" applyAlignment="0" applyProtection="0"/>
    <xf numFmtId="9" fontId="4" fillId="0" borderId="0" applyFont="0" applyFill="0" applyBorder="0" applyAlignment="0" applyProtection="0"/>
    <xf numFmtId="0" fontId="8" fillId="2" borderId="1">
      <alignment horizontal="center" vertical="center" wrapText="1"/>
    </xf>
    <xf numFmtId="0" fontId="53" fillId="0" borderId="0" applyNumberFormat="0" applyFill="0" applyBorder="0" applyAlignment="0" applyProtection="0"/>
  </cellStyleXfs>
  <cellXfs count="515">
    <xf numFmtId="0" fontId="0" fillId="0" borderId="0" xfId="0"/>
    <xf numFmtId="0" fontId="3" fillId="10" borderId="0" xfId="0" applyFont="1" applyFill="1" applyAlignment="1">
      <alignment wrapText="1"/>
    </xf>
    <xf numFmtId="0" fontId="0" fillId="6" borderId="0" xfId="0" applyFill="1" applyAlignment="1">
      <alignment vertical="center"/>
    </xf>
    <xf numFmtId="0" fontId="8" fillId="11" borderId="0" xfId="0" applyFont="1" applyFill="1"/>
    <xf numFmtId="0" fontId="8" fillId="11" borderId="0" xfId="0" applyFont="1" applyFill="1" applyAlignment="1">
      <alignment vertical="center"/>
    </xf>
    <xf numFmtId="0" fontId="17" fillId="11" borderId="0" xfId="0" applyFont="1" applyFill="1"/>
    <xf numFmtId="0" fontId="20" fillId="11" borderId="0" xfId="0" applyFont="1" applyFill="1" applyAlignment="1">
      <alignment horizontal="left"/>
    </xf>
    <xf numFmtId="0" fontId="17" fillId="11" borderId="0" xfId="0" applyFont="1" applyFill="1" applyAlignment="1">
      <alignment wrapText="1"/>
    </xf>
    <xf numFmtId="0" fontId="17" fillId="11" borderId="0" xfId="0" applyFont="1" applyFill="1" applyAlignment="1">
      <alignment vertical="center" wrapText="1"/>
    </xf>
    <xf numFmtId="0" fontId="17" fillId="11" borderId="0" xfId="0" applyFont="1" applyFill="1" applyAlignment="1">
      <alignment horizontal="center" vertical="center" wrapText="1"/>
    </xf>
    <xf numFmtId="0" fontId="26" fillId="11" borderId="0" xfId="0" applyFont="1" applyFill="1" applyAlignment="1">
      <alignment vertical="center" wrapText="1"/>
    </xf>
    <xf numFmtId="0" fontId="20" fillId="11" borderId="0" xfId="0" applyFont="1" applyFill="1"/>
    <xf numFmtId="0" fontId="20" fillId="11" borderId="0" xfId="0" applyFont="1" applyFill="1" applyAlignment="1">
      <alignment horizontal="center" vertical="center"/>
    </xf>
    <xf numFmtId="0" fontId="23" fillId="11" borderId="0" xfId="0" applyFont="1" applyFill="1" applyAlignment="1">
      <alignment horizontal="center" vertical="center" wrapText="1"/>
    </xf>
    <xf numFmtId="0" fontId="19" fillId="11" borderId="0" xfId="0" applyFont="1" applyFill="1" applyAlignment="1">
      <alignment horizontal="left"/>
    </xf>
    <xf numFmtId="0" fontId="17" fillId="11" borderId="0" xfId="0" applyFont="1" applyFill="1" applyAlignment="1">
      <alignment horizontal="center"/>
    </xf>
    <xf numFmtId="0" fontId="22" fillId="11" borderId="0" xfId="0" applyFont="1" applyFill="1" applyAlignment="1">
      <alignment vertical="center" wrapText="1"/>
    </xf>
    <xf numFmtId="0" fontId="17" fillId="11" borderId="0" xfId="0" applyFont="1" applyFill="1" applyAlignment="1">
      <alignment horizontal="center" vertical="center"/>
    </xf>
    <xf numFmtId="0" fontId="18" fillId="11" borderId="0" xfId="0" applyFont="1" applyFill="1" applyAlignment="1">
      <alignment horizontal="center"/>
    </xf>
    <xf numFmtId="0" fontId="21" fillId="11" borderId="0" xfId="0" applyFont="1" applyFill="1" applyAlignment="1">
      <alignment vertical="center" wrapText="1"/>
    </xf>
    <xf numFmtId="0" fontId="17" fillId="11" borderId="0" xfId="0" applyFont="1" applyFill="1" applyAlignment="1">
      <alignment horizontal="left" vertical="center"/>
    </xf>
    <xf numFmtId="0" fontId="20" fillId="11" borderId="0" xfId="0" applyFont="1" applyFill="1" applyAlignment="1">
      <alignment horizontal="center" vertical="center" wrapText="1"/>
    </xf>
    <xf numFmtId="0" fontId="20" fillId="11" borderId="0" xfId="0" applyFont="1" applyFill="1" applyAlignment="1">
      <alignment horizontal="left" vertical="center" wrapText="1"/>
    </xf>
    <xf numFmtId="164" fontId="17" fillId="11" borderId="0" xfId="0" applyNumberFormat="1" applyFont="1" applyFill="1" applyAlignment="1">
      <alignment horizontal="center" vertical="center"/>
    </xf>
    <xf numFmtId="0" fontId="12" fillId="11" borderId="0" xfId="0" applyFont="1" applyFill="1" applyAlignment="1">
      <alignment horizontal="left" vertical="center"/>
    </xf>
    <xf numFmtId="0" fontId="8" fillId="11" borderId="0" xfId="0" applyFont="1" applyFill="1" applyAlignment="1">
      <alignment horizontal="center" vertical="center"/>
    </xf>
    <xf numFmtId="0" fontId="14" fillId="11" borderId="0" xfId="0" applyFont="1" applyFill="1" applyAlignment="1">
      <alignment horizontal="left" vertical="center"/>
    </xf>
    <xf numFmtId="0" fontId="15" fillId="11" borderId="0" xfId="0" applyFont="1" applyFill="1" applyAlignment="1">
      <alignment horizontal="center" vertical="center" wrapText="1"/>
    </xf>
    <xf numFmtId="0" fontId="20" fillId="11" borderId="0" xfId="0" applyFont="1" applyFill="1" applyAlignment="1">
      <alignment horizontal="left" vertical="center"/>
    </xf>
    <xf numFmtId="0" fontId="20" fillId="11" borderId="0" xfId="0" applyFont="1" applyFill="1" applyAlignment="1">
      <alignment horizontal="right" vertical="center"/>
    </xf>
    <xf numFmtId="0" fontId="22" fillId="11" borderId="0" xfId="0" applyFont="1" applyFill="1" applyAlignment="1">
      <alignment horizontal="right" vertical="center" wrapText="1"/>
    </xf>
    <xf numFmtId="0" fontId="24" fillId="11" borderId="0" xfId="0" applyFont="1" applyFill="1" applyAlignment="1">
      <alignment vertical="center" wrapText="1"/>
    </xf>
    <xf numFmtId="0" fontId="25" fillId="11" borderId="0" xfId="0" applyFont="1" applyFill="1" applyAlignment="1">
      <alignment vertical="center" wrapText="1"/>
    </xf>
    <xf numFmtId="0" fontId="27" fillId="11" borderId="0" xfId="0" applyFont="1" applyFill="1" applyAlignment="1">
      <alignment horizontal="center"/>
    </xf>
    <xf numFmtId="0" fontId="14" fillId="11" borderId="0" xfId="0" applyFont="1" applyFill="1" applyAlignment="1">
      <alignment horizontal="center" vertical="center"/>
    </xf>
    <xf numFmtId="0" fontId="27" fillId="11" borderId="0" xfId="0" applyFont="1" applyFill="1" applyAlignment="1">
      <alignment horizontal="left" vertical="center" wrapText="1"/>
    </xf>
    <xf numFmtId="0" fontId="27" fillId="11" borderId="0" xfId="0" applyFont="1" applyFill="1"/>
    <xf numFmtId="0" fontId="27" fillId="11" borderId="0" xfId="0" applyFont="1" applyFill="1" applyAlignment="1">
      <alignment vertical="center" wrapText="1"/>
    </xf>
    <xf numFmtId="0" fontId="19" fillId="13" borderId="1" xfId="0" applyFont="1" applyFill="1" applyBorder="1" applyAlignment="1">
      <alignment horizontal="left" vertical="center" wrapText="1"/>
    </xf>
    <xf numFmtId="0" fontId="19" fillId="13" borderId="1" xfId="0" applyFont="1" applyFill="1" applyBorder="1" applyAlignment="1">
      <alignment horizontal="left" vertical="center"/>
    </xf>
    <xf numFmtId="0" fontId="19" fillId="13" borderId="1" xfId="0" applyFont="1" applyFill="1" applyBorder="1" applyAlignment="1">
      <alignment horizontal="center" vertical="center" wrapText="1"/>
    </xf>
    <xf numFmtId="0" fontId="20" fillId="11" borderId="0" xfId="0" applyFont="1" applyFill="1" applyAlignment="1">
      <alignment horizontal="center"/>
    </xf>
    <xf numFmtId="0" fontId="31" fillId="11" borderId="0" xfId="0" applyFont="1" applyFill="1" applyAlignment="1">
      <alignment horizontal="center"/>
    </xf>
    <xf numFmtId="0" fontId="17" fillId="11" borderId="0" xfId="0" applyFont="1" applyFill="1" applyAlignment="1">
      <alignment vertical="center"/>
    </xf>
    <xf numFmtId="0" fontId="19" fillId="11" borderId="0" xfId="0" applyFont="1" applyFill="1" applyAlignment="1">
      <alignment horizontal="center"/>
    </xf>
    <xf numFmtId="0" fontId="27" fillId="11" borderId="0" xfId="0" applyFont="1" applyFill="1" applyAlignment="1">
      <alignment horizontal="center" vertical="center" wrapText="1"/>
    </xf>
    <xf numFmtId="0" fontId="22" fillId="11" borderId="0" xfId="0" applyFont="1" applyFill="1"/>
    <xf numFmtId="0" fontId="8" fillId="11" borderId="0" xfId="0" applyFont="1" applyFill="1" applyAlignment="1">
      <alignment horizontal="center"/>
    </xf>
    <xf numFmtId="0" fontId="34" fillId="12" borderId="1" xfId="0" applyFont="1" applyFill="1" applyBorder="1" applyAlignment="1">
      <alignment vertical="center"/>
    </xf>
    <xf numFmtId="0" fontId="34" fillId="12" borderId="1" xfId="0" applyFont="1" applyFill="1" applyBorder="1" applyAlignment="1">
      <alignment horizontal="center" vertical="center" wrapText="1"/>
    </xf>
    <xf numFmtId="0" fontId="34" fillId="12" borderId="1" xfId="0" applyFont="1" applyFill="1" applyBorder="1" applyAlignment="1">
      <alignment vertical="center" wrapText="1"/>
    </xf>
    <xf numFmtId="0" fontId="35" fillId="11" borderId="0" xfId="0" applyFont="1" applyFill="1"/>
    <xf numFmtId="0" fontId="8" fillId="11" borderId="0" xfId="0" applyFont="1" applyFill="1" applyAlignment="1">
      <alignment horizontal="center" wrapText="1"/>
    </xf>
    <xf numFmtId="0" fontId="15" fillId="11" borderId="0" xfId="0" applyFont="1" applyFill="1" applyAlignment="1">
      <alignment horizontal="center" wrapText="1"/>
    </xf>
    <xf numFmtId="0" fontId="8" fillId="11" borderId="0" xfId="0" quotePrefix="1" applyFont="1" applyFill="1" applyAlignment="1">
      <alignment horizontal="left"/>
    </xf>
    <xf numFmtId="0" fontId="43" fillId="11" borderId="0" xfId="0" applyFont="1" applyFill="1" applyAlignment="1">
      <alignment wrapText="1"/>
    </xf>
    <xf numFmtId="0" fontId="43" fillId="11" borderId="0" xfId="0" applyFont="1" applyFill="1" applyAlignment="1">
      <alignment vertical="center" wrapText="1"/>
    </xf>
    <xf numFmtId="0" fontId="43" fillId="11" borderId="0" xfId="0" applyFont="1" applyFill="1"/>
    <xf numFmtId="0" fontId="43" fillId="11" borderId="5" xfId="0" applyFont="1" applyFill="1" applyBorder="1"/>
    <xf numFmtId="0" fontId="43" fillId="11" borderId="0" xfId="0" applyFont="1" applyFill="1" applyAlignment="1">
      <alignment horizontal="center"/>
    </xf>
    <xf numFmtId="0" fontId="17" fillId="13" borderId="13" xfId="0" applyFont="1" applyFill="1" applyBorder="1" applyAlignment="1">
      <alignment horizontal="center" vertical="center"/>
    </xf>
    <xf numFmtId="0" fontId="8" fillId="13" borderId="13" xfId="0" applyFont="1" applyFill="1" applyBorder="1" applyAlignment="1">
      <alignment horizontal="center" vertical="center"/>
    </xf>
    <xf numFmtId="0" fontId="45" fillId="13" borderId="4" xfId="0" applyFont="1" applyFill="1" applyBorder="1" applyAlignment="1">
      <alignment horizontal="center"/>
    </xf>
    <xf numFmtId="0" fontId="45" fillId="13" borderId="5" xfId="0" applyFont="1" applyFill="1" applyBorder="1" applyAlignment="1">
      <alignment horizontal="center"/>
    </xf>
    <xf numFmtId="0" fontId="45" fillId="13" borderId="5" xfId="0" applyFont="1" applyFill="1" applyBorder="1"/>
    <xf numFmtId="0" fontId="45" fillId="13" borderId="6" xfId="0" applyFont="1" applyFill="1" applyBorder="1"/>
    <xf numFmtId="0" fontId="45" fillId="13" borderId="7" xfId="0" applyFont="1" applyFill="1" applyBorder="1" applyAlignment="1">
      <alignment horizontal="center"/>
    </xf>
    <xf numFmtId="0" fontId="45" fillId="13" borderId="8" xfId="0" applyFont="1" applyFill="1" applyBorder="1" applyAlignment="1">
      <alignment horizontal="center"/>
    </xf>
    <xf numFmtId="0" fontId="45" fillId="13" borderId="8" xfId="0" applyFont="1" applyFill="1" applyBorder="1"/>
    <xf numFmtId="0" fontId="45" fillId="13" borderId="9" xfId="0" applyFont="1" applyFill="1" applyBorder="1"/>
    <xf numFmtId="1" fontId="8" fillId="11" borderId="0" xfId="0" applyNumberFormat="1" applyFont="1" applyFill="1" applyAlignment="1">
      <alignment horizontal="center"/>
    </xf>
    <xf numFmtId="0" fontId="0" fillId="0" borderId="0" xfId="0" applyAlignment="1">
      <alignment vertical="center"/>
    </xf>
    <xf numFmtId="0" fontId="43" fillId="12" borderId="10" xfId="0" applyFont="1" applyFill="1" applyBorder="1" applyAlignment="1">
      <alignment vertical="center"/>
    </xf>
    <xf numFmtId="0" fontId="43" fillId="12" borderId="0" xfId="0" applyFont="1" applyFill="1" applyAlignment="1">
      <alignment vertical="center"/>
    </xf>
    <xf numFmtId="0" fontId="18" fillId="13" borderId="4" xfId="0" applyFont="1" applyFill="1" applyBorder="1"/>
    <xf numFmtId="0" fontId="18" fillId="13" borderId="5" xfId="0" applyFont="1" applyFill="1" applyBorder="1"/>
    <xf numFmtId="0" fontId="18" fillId="13" borderId="6" xfId="0" applyFont="1" applyFill="1" applyBorder="1"/>
    <xf numFmtId="0" fontId="18" fillId="13" borderId="7" xfId="0" applyFont="1" applyFill="1" applyBorder="1"/>
    <xf numFmtId="0" fontId="18" fillId="13" borderId="8" xfId="0" applyFont="1" applyFill="1" applyBorder="1"/>
    <xf numFmtId="0" fontId="18" fillId="13" borderId="9" xfId="0" applyFont="1" applyFill="1" applyBorder="1"/>
    <xf numFmtId="0" fontId="18" fillId="13" borderId="13" xfId="0" applyFont="1" applyFill="1" applyBorder="1"/>
    <xf numFmtId="0" fontId="18" fillId="4" borderId="13" xfId="0" applyFont="1" applyFill="1" applyBorder="1"/>
    <xf numFmtId="0" fontId="17" fillId="2" borderId="4" xfId="0" applyFont="1" applyFill="1" applyBorder="1" applyAlignment="1">
      <alignment vertical="center"/>
    </xf>
    <xf numFmtId="0" fontId="17" fillId="2" borderId="5" xfId="0" applyFont="1" applyFill="1" applyBorder="1" applyAlignment="1">
      <alignment vertical="center"/>
    </xf>
    <xf numFmtId="0" fontId="17" fillId="2" borderId="6" xfId="0" applyFont="1" applyFill="1" applyBorder="1" applyAlignment="1">
      <alignment vertical="center"/>
    </xf>
    <xf numFmtId="0" fontId="17" fillId="2" borderId="10" xfId="0" applyFont="1" applyFill="1" applyBorder="1" applyAlignment="1">
      <alignment vertical="center"/>
    </xf>
    <xf numFmtId="0" fontId="17" fillId="2" borderId="0" xfId="0" applyFont="1" applyFill="1" applyAlignment="1">
      <alignment vertical="center"/>
    </xf>
    <xf numFmtId="0" fontId="17" fillId="2" borderId="11" xfId="0" applyFont="1" applyFill="1" applyBorder="1" applyAlignment="1">
      <alignment vertical="center"/>
    </xf>
    <xf numFmtId="0" fontId="17" fillId="2" borderId="7" xfId="0" applyFont="1" applyFill="1" applyBorder="1" applyAlignment="1">
      <alignment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14" fillId="11" borderId="0" xfId="0" applyFont="1" applyFill="1" applyAlignment="1">
      <alignment vertical="center"/>
    </xf>
    <xf numFmtId="0" fontId="7" fillId="6" borderId="0" xfId="0" applyFont="1" applyFill="1" applyAlignment="1">
      <alignment horizontal="center"/>
    </xf>
    <xf numFmtId="0" fontId="7" fillId="6" borderId="0" xfId="0" applyFont="1" applyFill="1" applyAlignment="1">
      <alignment horizontal="center" vertical="center"/>
    </xf>
    <xf numFmtId="0" fontId="5" fillId="10" borderId="8" xfId="0" applyFont="1" applyFill="1" applyBorder="1" applyAlignment="1">
      <alignment horizontal="center"/>
    </xf>
    <xf numFmtId="0" fontId="14" fillId="11" borderId="0" xfId="0" applyFont="1" applyFill="1" applyAlignment="1">
      <alignment vertical="top"/>
    </xf>
    <xf numFmtId="0" fontId="8" fillId="11" borderId="0" xfId="0" applyFont="1" applyFill="1" applyAlignment="1">
      <alignment horizontal="left" vertical="center" wrapText="1"/>
    </xf>
    <xf numFmtId="0" fontId="50" fillId="11" borderId="0" xfId="0" applyFont="1" applyFill="1" applyAlignment="1">
      <alignment horizontal="left" vertical="center"/>
    </xf>
    <xf numFmtId="0" fontId="11" fillId="13" borderId="5" xfId="0" applyFont="1" applyFill="1" applyBorder="1" applyAlignment="1">
      <alignment vertical="center" wrapText="1"/>
    </xf>
    <xf numFmtId="0" fontId="11" fillId="13" borderId="4" xfId="0" applyFont="1" applyFill="1" applyBorder="1" applyAlignment="1">
      <alignment vertical="center" wrapText="1"/>
    </xf>
    <xf numFmtId="0" fontId="11" fillId="13" borderId="6" xfId="0" applyFont="1" applyFill="1" applyBorder="1" applyAlignment="1">
      <alignment horizontal="center" vertical="center" wrapText="1"/>
    </xf>
    <xf numFmtId="0" fontId="44" fillId="13" borderId="0" xfId="0" applyFont="1" applyFill="1" applyAlignment="1">
      <alignment horizontal="center" wrapText="1"/>
    </xf>
    <xf numFmtId="0" fontId="8" fillId="0" borderId="0" xfId="0" applyFont="1"/>
    <xf numFmtId="0" fontId="8" fillId="0" borderId="0" xfId="0" applyFont="1" applyAlignment="1">
      <alignment horizontal="center"/>
    </xf>
    <xf numFmtId="0" fontId="8" fillId="0" borderId="0" xfId="0" applyFont="1" applyAlignment="1">
      <alignment vertical="center"/>
    </xf>
    <xf numFmtId="0" fontId="43" fillId="0" borderId="0" xfId="0" applyFont="1" applyAlignment="1">
      <alignment wrapText="1"/>
    </xf>
    <xf numFmtId="0" fontId="43" fillId="0" borderId="0" xfId="0" applyFont="1" applyAlignment="1">
      <alignment vertical="center" wrapText="1"/>
    </xf>
    <xf numFmtId="0" fontId="43" fillId="0" borderId="0" xfId="0" applyFont="1"/>
    <xf numFmtId="0" fontId="8" fillId="11" borderId="0" xfId="3" applyFill="1" applyBorder="1" applyAlignment="1">
      <alignment vertical="center" wrapText="1"/>
    </xf>
    <xf numFmtId="0" fontId="36" fillId="11" borderId="0" xfId="0" applyFont="1" applyFill="1" applyAlignment="1">
      <alignment vertical="center" wrapText="1"/>
    </xf>
    <xf numFmtId="0" fontId="37" fillId="11" borderId="0" xfId="0" applyFont="1" applyFill="1" applyAlignment="1">
      <alignment vertical="center" wrapText="1"/>
    </xf>
    <xf numFmtId="0" fontId="8" fillId="11" borderId="0" xfId="0" applyFont="1" applyFill="1" applyAlignment="1">
      <alignment horizontal="left" vertical="center"/>
    </xf>
    <xf numFmtId="0" fontId="53" fillId="11" borderId="0" xfId="4" applyFill="1" applyAlignment="1">
      <alignment horizontal="left"/>
    </xf>
    <xf numFmtId="0" fontId="43" fillId="12" borderId="0" xfId="0" applyFont="1" applyFill="1" applyAlignment="1">
      <alignment horizontal="center" vertical="center"/>
    </xf>
    <xf numFmtId="0" fontId="16" fillId="11" borderId="0" xfId="1" applyFont="1" applyFill="1" applyAlignment="1">
      <alignment horizontal="left" vertical="center"/>
    </xf>
    <xf numFmtId="0" fontId="20" fillId="11" borderId="8" xfId="0" applyFont="1" applyFill="1" applyBorder="1" applyAlignment="1">
      <alignment vertical="center"/>
    </xf>
    <xf numFmtId="0" fontId="8" fillId="11" borderId="0" xfId="0" applyFont="1" applyFill="1" applyAlignment="1">
      <alignment horizontal="left" wrapText="1"/>
    </xf>
    <xf numFmtId="0" fontId="18" fillId="11" borderId="0" xfId="0" applyFont="1" applyFill="1" applyAlignment="1">
      <alignment horizontal="center" vertical="center"/>
    </xf>
    <xf numFmtId="0" fontId="19" fillId="11" borderId="0" xfId="0" applyFont="1" applyFill="1" applyAlignment="1">
      <alignment horizontal="left" vertical="center"/>
    </xf>
    <xf numFmtId="0" fontId="19" fillId="11" borderId="0" xfId="0" applyFont="1" applyFill="1" applyAlignment="1">
      <alignment horizontal="center" vertical="center"/>
    </xf>
    <xf numFmtId="0" fontId="11" fillId="13" borderId="14" xfId="0" applyFont="1" applyFill="1" applyBorder="1" applyAlignment="1">
      <alignment vertical="center" wrapText="1"/>
    </xf>
    <xf numFmtId="0" fontId="11" fillId="13" borderId="2" xfId="0" applyFont="1" applyFill="1" applyBorder="1" applyAlignment="1">
      <alignment vertical="center" wrapText="1"/>
    </xf>
    <xf numFmtId="0" fontId="11" fillId="13" borderId="14" xfId="0" applyFont="1" applyFill="1" applyBorder="1" applyAlignment="1">
      <alignment vertical="center"/>
    </xf>
    <xf numFmtId="0" fontId="11" fillId="13" borderId="14" xfId="0" applyFont="1" applyFill="1" applyBorder="1" applyAlignment="1">
      <alignment horizontal="center" vertical="center" wrapText="1"/>
    </xf>
    <xf numFmtId="0" fontId="33" fillId="11" borderId="11" xfId="0" applyFont="1" applyFill="1" applyBorder="1" applyAlignment="1">
      <alignment horizontal="center" vertical="center"/>
    </xf>
    <xf numFmtId="164" fontId="17" fillId="11" borderId="0" xfId="0" applyNumberFormat="1" applyFont="1" applyFill="1" applyAlignment="1">
      <alignment horizontal="center"/>
    </xf>
    <xf numFmtId="164" fontId="20" fillId="11" borderId="0" xfId="0" applyNumberFormat="1" applyFont="1" applyFill="1" applyAlignment="1">
      <alignment horizontal="center"/>
    </xf>
    <xf numFmtId="1" fontId="20" fillId="11" borderId="0" xfId="0" applyNumberFormat="1" applyFont="1" applyFill="1" applyAlignment="1">
      <alignment horizontal="center" vertical="center" wrapText="1"/>
    </xf>
    <xf numFmtId="165" fontId="20" fillId="11" borderId="0" xfId="0" applyNumberFormat="1" applyFont="1" applyFill="1" applyAlignment="1">
      <alignment horizontal="center"/>
    </xf>
    <xf numFmtId="0" fontId="16" fillId="11" borderId="0" xfId="0" applyFont="1" applyFill="1" applyAlignment="1">
      <alignment horizontal="left" vertical="center"/>
    </xf>
    <xf numFmtId="0" fontId="58" fillId="2" borderId="3" xfId="3" applyFont="1" applyBorder="1">
      <alignment horizontal="center" vertical="center" wrapText="1"/>
    </xf>
    <xf numFmtId="0" fontId="59" fillId="11" borderId="0" xfId="0" applyFont="1" applyFill="1" applyAlignment="1">
      <alignment horizontal="right" vertical="center"/>
    </xf>
    <xf numFmtId="0" fontId="60" fillId="11" borderId="0" xfId="0" applyFont="1" applyFill="1" applyAlignment="1">
      <alignment horizontal="center"/>
    </xf>
    <xf numFmtId="0" fontId="15" fillId="11" borderId="0" xfId="0" applyFont="1" applyFill="1" applyAlignment="1">
      <alignment horizontal="left" wrapText="1"/>
    </xf>
    <xf numFmtId="0" fontId="47" fillId="11" borderId="0" xfId="0" applyFont="1" applyFill="1" applyAlignment="1">
      <alignment horizontal="left" vertical="center"/>
    </xf>
    <xf numFmtId="0" fontId="63" fillId="12" borderId="8" xfId="0" applyFont="1" applyFill="1" applyBorder="1" applyAlignment="1">
      <alignment horizontal="center" vertical="center"/>
    </xf>
    <xf numFmtId="0" fontId="65" fillId="13" borderId="8" xfId="0" applyFont="1" applyFill="1" applyBorder="1" applyAlignment="1">
      <alignment horizontal="center" vertical="center" wrapText="1"/>
    </xf>
    <xf numFmtId="0" fontId="65" fillId="13" borderId="9" xfId="0" applyFont="1" applyFill="1" applyBorder="1" applyAlignment="1">
      <alignment horizontal="center" vertical="center" wrapText="1"/>
    </xf>
    <xf numFmtId="0" fontId="63" fillId="6" borderId="1" xfId="0" applyFont="1" applyFill="1" applyBorder="1" applyAlignment="1">
      <alignment horizontal="center" vertical="center"/>
    </xf>
    <xf numFmtId="9" fontId="63" fillId="6" borderId="1" xfId="2" applyFont="1" applyFill="1" applyBorder="1" applyAlignment="1">
      <alignment horizontal="center" vertical="center"/>
    </xf>
    <xf numFmtId="0" fontId="63" fillId="6" borderId="0" xfId="0" applyFont="1" applyFill="1" applyAlignment="1">
      <alignment vertical="center"/>
    </xf>
    <xf numFmtId="167" fontId="63" fillId="6" borderId="1" xfId="0" applyNumberFormat="1" applyFont="1" applyFill="1" applyBorder="1" applyAlignment="1">
      <alignment horizontal="center" vertical="center"/>
    </xf>
    <xf numFmtId="0" fontId="63" fillId="6" borderId="0" xfId="0" quotePrefix="1" applyFont="1" applyFill="1" applyAlignment="1">
      <alignment vertical="center"/>
    </xf>
    <xf numFmtId="0" fontId="67" fillId="6" borderId="0" xfId="0" applyFont="1" applyFill="1" applyAlignment="1">
      <alignment vertical="center"/>
    </xf>
    <xf numFmtId="167" fontId="63" fillId="6" borderId="12" xfId="0" applyNumberFormat="1" applyFont="1" applyFill="1" applyBorder="1" applyAlignment="1">
      <alignment horizontal="center" vertical="center"/>
    </xf>
    <xf numFmtId="0" fontId="28" fillId="11" borderId="0" xfId="1" applyFont="1" applyFill="1" applyAlignment="1" applyProtection="1">
      <alignment horizontal="center" vertical="center"/>
      <protection locked="0"/>
    </xf>
    <xf numFmtId="0" fontId="8" fillId="11" borderId="0" xfId="0" applyFont="1" applyFill="1" applyAlignment="1">
      <alignment vertical="center" wrapText="1"/>
    </xf>
    <xf numFmtId="0" fontId="14" fillId="11" borderId="0" xfId="0" applyFont="1" applyFill="1" applyAlignment="1">
      <alignment horizontal="left"/>
    </xf>
    <xf numFmtId="0" fontId="15" fillId="11" borderId="0" xfId="0" applyFont="1" applyFill="1" applyAlignment="1">
      <alignment horizontal="center" vertical="center" textRotation="90" wrapText="1"/>
    </xf>
    <xf numFmtId="0" fontId="9" fillId="11" borderId="0" xfId="0" applyFont="1" applyFill="1" applyAlignment="1">
      <alignment horizontal="left" vertical="center" wrapText="1"/>
    </xf>
    <xf numFmtId="0" fontId="32" fillId="11" borderId="0" xfId="0" applyFont="1" applyFill="1" applyAlignment="1">
      <alignment vertical="center" wrapText="1"/>
    </xf>
    <xf numFmtId="0" fontId="8" fillId="11" borderId="0" xfId="0" applyFont="1" applyFill="1" applyAlignment="1">
      <alignment horizontal="center" vertical="center" wrapText="1"/>
    </xf>
    <xf numFmtId="0" fontId="29" fillId="11" borderId="0" xfId="1" applyFont="1" applyFill="1" applyAlignment="1">
      <alignment horizontal="center" vertical="center" wrapText="1"/>
    </xf>
    <xf numFmtId="0" fontId="12" fillId="11" borderId="0" xfId="0" applyFont="1" applyFill="1"/>
    <xf numFmtId="0" fontId="9" fillId="13" borderId="5" xfId="0" applyFont="1" applyFill="1" applyBorder="1"/>
    <xf numFmtId="0" fontId="9" fillId="13" borderId="6" xfId="0" applyFont="1" applyFill="1" applyBorder="1"/>
    <xf numFmtId="0" fontId="9" fillId="13" borderId="8" xfId="0" applyFont="1" applyFill="1" applyBorder="1"/>
    <xf numFmtId="0" fontId="9" fillId="13" borderId="9" xfId="0" applyFont="1" applyFill="1" applyBorder="1"/>
    <xf numFmtId="0" fontId="12" fillId="11" borderId="0" xfId="0" applyFont="1" applyFill="1" applyAlignment="1">
      <alignment horizontal="center"/>
    </xf>
    <xf numFmtId="0" fontId="12" fillId="11" borderId="0" xfId="0" applyFont="1" applyFill="1" applyAlignment="1">
      <alignment horizontal="left"/>
    </xf>
    <xf numFmtId="0" fontId="16" fillId="6" borderId="1" xfId="1" applyFont="1" applyFill="1" applyBorder="1" applyAlignment="1" applyProtection="1">
      <alignment horizontal="center" vertical="center" wrapText="1"/>
      <protection locked="0"/>
    </xf>
    <xf numFmtId="0" fontId="16" fillId="6" borderId="1" xfId="1" applyFont="1" applyFill="1" applyBorder="1" applyAlignment="1" applyProtection="1">
      <alignment horizontal="center" vertical="center"/>
      <protection locked="0"/>
    </xf>
    <xf numFmtId="0" fontId="8" fillId="9" borderId="0" xfId="0" applyFont="1" applyFill="1"/>
    <xf numFmtId="0" fontId="12" fillId="11" borderId="0" xfId="0" applyFont="1" applyFill="1" applyAlignment="1">
      <alignment vertical="center" wrapText="1"/>
    </xf>
    <xf numFmtId="0" fontId="29" fillId="11" borderId="0" xfId="1" applyFont="1" applyFill="1" applyAlignment="1">
      <alignment horizontal="center" wrapText="1"/>
    </xf>
    <xf numFmtId="0" fontId="8" fillId="9" borderId="0" xfId="0" applyFont="1" applyFill="1" applyProtection="1">
      <protection hidden="1"/>
    </xf>
    <xf numFmtId="0" fontId="8" fillId="11" borderId="0" xfId="0" applyFont="1" applyFill="1" applyProtection="1">
      <protection hidden="1"/>
    </xf>
    <xf numFmtId="0" fontId="9" fillId="13" borderId="4" xfId="0" applyFont="1" applyFill="1" applyBorder="1" applyProtection="1">
      <protection hidden="1"/>
    </xf>
    <xf numFmtId="0" fontId="9" fillId="13" borderId="7" xfId="0" applyFont="1" applyFill="1" applyBorder="1" applyProtection="1">
      <protection hidden="1"/>
    </xf>
    <xf numFmtId="0" fontId="12" fillId="11" borderId="0" xfId="0" applyFont="1" applyFill="1" applyProtection="1">
      <protection hidden="1"/>
    </xf>
    <xf numFmtId="0" fontId="59" fillId="11" borderId="0" xfId="0" applyFont="1" applyFill="1" applyAlignment="1" applyProtection="1">
      <alignment horizontal="right" vertical="center"/>
      <protection hidden="1"/>
    </xf>
    <xf numFmtId="0" fontId="61" fillId="11" borderId="0" xfId="0" applyFont="1" applyFill="1" applyAlignment="1" applyProtection="1">
      <alignment horizontal="right"/>
      <protection hidden="1"/>
    </xf>
    <xf numFmtId="0" fontId="8" fillId="11" borderId="0" xfId="0" applyFont="1" applyFill="1" applyAlignment="1" applyProtection="1">
      <alignment horizontal="center" vertical="center"/>
      <protection hidden="1"/>
    </xf>
    <xf numFmtId="0" fontId="8" fillId="11" borderId="0" xfId="0" applyFont="1" applyFill="1" applyAlignment="1" applyProtection="1">
      <alignment vertical="center"/>
      <protection hidden="1"/>
    </xf>
    <xf numFmtId="0" fontId="8" fillId="11" borderId="0" xfId="0" applyFont="1" applyFill="1" applyAlignment="1" applyProtection="1">
      <alignment vertical="center" wrapText="1"/>
      <protection hidden="1"/>
    </xf>
    <xf numFmtId="0" fontId="16" fillId="11" borderId="0" xfId="0" applyFont="1" applyFill="1" applyAlignment="1" applyProtection="1">
      <alignment horizontal="left" vertical="center" wrapText="1"/>
      <protection hidden="1"/>
    </xf>
    <xf numFmtId="0" fontId="8" fillId="12" borderId="1" xfId="1" applyFont="1" applyFill="1" applyBorder="1" applyAlignment="1" applyProtection="1">
      <alignment horizontal="center" vertical="center"/>
      <protection hidden="1"/>
    </xf>
    <xf numFmtId="0" fontId="8" fillId="12" borderId="1" xfId="1" applyFont="1" applyFill="1" applyBorder="1" applyAlignment="1" applyProtection="1">
      <alignment horizontal="center" vertical="center" wrapText="1"/>
      <protection hidden="1"/>
    </xf>
    <xf numFmtId="164" fontId="16" fillId="11" borderId="0" xfId="1" applyNumberFormat="1" applyFont="1" applyFill="1" applyAlignment="1" applyProtection="1">
      <alignment horizontal="center" vertical="center" wrapText="1"/>
      <protection hidden="1"/>
    </xf>
    <xf numFmtId="0" fontId="27" fillId="11" borderId="0" xfId="0" applyFont="1" applyFill="1" applyAlignment="1" applyProtection="1">
      <alignment horizontal="center" vertical="center"/>
      <protection locked="0"/>
    </xf>
    <xf numFmtId="165" fontId="17" fillId="12" borderId="1" xfId="0" applyNumberFormat="1" applyFont="1" applyFill="1" applyBorder="1" applyAlignment="1" applyProtection="1">
      <alignment horizontal="center" vertical="center"/>
      <protection hidden="1"/>
    </xf>
    <xf numFmtId="0" fontId="9" fillId="11" borderId="0" xfId="0" applyFont="1" applyFill="1" applyAlignment="1" applyProtection="1">
      <alignment horizontal="center"/>
      <protection hidden="1"/>
    </xf>
    <xf numFmtId="165" fontId="18" fillId="11" borderId="0" xfId="0" applyNumberFormat="1" applyFont="1" applyFill="1" applyAlignment="1" applyProtection="1">
      <alignment horizontal="center" vertical="center"/>
      <protection hidden="1"/>
    </xf>
    <xf numFmtId="9" fontId="18" fillId="11" borderId="0" xfId="2" applyFont="1" applyFill="1" applyAlignment="1" applyProtection="1">
      <alignment horizontal="center" vertical="center"/>
      <protection hidden="1"/>
    </xf>
    <xf numFmtId="9" fontId="22" fillId="11" borderId="0" xfId="0" applyNumberFormat="1" applyFont="1" applyFill="1" applyAlignment="1" applyProtection="1">
      <alignment horizontal="center" vertical="center" wrapText="1"/>
      <protection hidden="1"/>
    </xf>
    <xf numFmtId="168" fontId="22" fillId="11" borderId="0" xfId="0" applyNumberFormat="1" applyFont="1" applyFill="1" applyAlignment="1" applyProtection="1">
      <alignment horizontal="center" vertical="center" wrapText="1"/>
      <protection hidden="1"/>
    </xf>
    <xf numFmtId="0" fontId="58" fillId="2" borderId="3" xfId="3" applyFont="1" applyBorder="1" applyProtection="1">
      <alignment horizontal="center" vertical="center" wrapText="1"/>
      <protection hidden="1"/>
    </xf>
    <xf numFmtId="0" fontId="57" fillId="2" borderId="12" xfId="3" applyFont="1" applyBorder="1" applyProtection="1">
      <alignment horizontal="center" vertical="center" wrapText="1"/>
      <protection hidden="1"/>
    </xf>
    <xf numFmtId="166" fontId="17" fillId="12" borderId="1" xfId="0" applyNumberFormat="1" applyFont="1" applyFill="1" applyBorder="1" applyAlignment="1" applyProtection="1">
      <alignment horizontal="center" vertical="center" wrapText="1"/>
      <protection hidden="1"/>
    </xf>
    <xf numFmtId="166" fontId="17" fillId="12" borderId="1" xfId="0" applyNumberFormat="1" applyFont="1" applyFill="1" applyBorder="1" applyAlignment="1" applyProtection="1">
      <alignment horizontal="center" vertical="center"/>
      <protection hidden="1"/>
    </xf>
    <xf numFmtId="169" fontId="17" fillId="12" borderId="1" xfId="0" applyNumberFormat="1" applyFont="1" applyFill="1" applyBorder="1" applyAlignment="1" applyProtection="1">
      <alignment horizontal="center" vertical="center"/>
      <protection hidden="1"/>
    </xf>
    <xf numFmtId="0" fontId="12" fillId="11" borderId="0" xfId="0" applyFont="1" applyFill="1" applyAlignment="1" applyProtection="1">
      <alignment vertical="center"/>
      <protection hidden="1"/>
    </xf>
    <xf numFmtId="2" fontId="17" fillId="12" borderId="1" xfId="0" applyNumberFormat="1" applyFont="1" applyFill="1" applyBorder="1" applyAlignment="1" applyProtection="1">
      <alignment horizontal="center" vertical="center" wrapText="1"/>
      <protection hidden="1"/>
    </xf>
    <xf numFmtId="0" fontId="27" fillId="11" borderId="0" xfId="0" applyFont="1" applyFill="1" applyAlignment="1" applyProtection="1">
      <alignment horizontal="center" vertical="center" wrapText="1"/>
      <protection hidden="1"/>
    </xf>
    <xf numFmtId="0" fontId="27" fillId="11" borderId="0" xfId="0" applyFont="1" applyFill="1" applyAlignment="1" applyProtection="1">
      <alignment horizontal="center"/>
      <protection hidden="1"/>
    </xf>
    <xf numFmtId="0" fontId="31" fillId="11" borderId="0" xfId="0" applyFont="1" applyFill="1" applyAlignment="1" applyProtection="1">
      <alignment horizontal="center" vertical="center" wrapText="1"/>
      <protection hidden="1"/>
    </xf>
    <xf numFmtId="0" fontId="12" fillId="11" borderId="0" xfId="0" applyFont="1" applyFill="1" applyAlignment="1" applyProtection="1">
      <alignment horizontal="left"/>
      <protection hidden="1"/>
    </xf>
    <xf numFmtId="0" fontId="8" fillId="11" borderId="0" xfId="3" applyFill="1" applyBorder="1" applyAlignment="1" applyProtection="1">
      <alignment horizontal="left" vertical="center" wrapText="1"/>
      <protection hidden="1"/>
    </xf>
    <xf numFmtId="0" fontId="8" fillId="11" borderId="0" xfId="0" applyFont="1" applyFill="1" applyAlignment="1" applyProtection="1">
      <alignment horizontal="left"/>
      <protection hidden="1"/>
    </xf>
    <xf numFmtId="0" fontId="39" fillId="13" borderId="1" xfId="0" applyFont="1" applyFill="1" applyBorder="1" applyAlignment="1" applyProtection="1">
      <alignment horizontal="center" vertical="center" wrapText="1"/>
      <protection hidden="1"/>
    </xf>
    <xf numFmtId="0" fontId="39" fillId="13" borderId="3" xfId="0" applyFont="1" applyFill="1" applyBorder="1" applyAlignment="1" applyProtection="1">
      <alignment horizontal="center" vertical="center" wrapText="1"/>
      <protection hidden="1"/>
    </xf>
    <xf numFmtId="0" fontId="40" fillId="11" borderId="0" xfId="0" applyFont="1" applyFill="1" applyAlignment="1" applyProtection="1">
      <alignment horizontal="center" vertical="center" wrapText="1"/>
      <protection hidden="1"/>
    </xf>
    <xf numFmtId="0" fontId="43" fillId="11" borderId="0" xfId="0" applyFont="1" applyFill="1" applyAlignment="1" applyProtection="1">
      <alignment wrapText="1"/>
      <protection hidden="1"/>
    </xf>
    <xf numFmtId="164" fontId="54" fillId="12" borderId="1" xfId="0" applyNumberFormat="1" applyFont="1" applyFill="1" applyBorder="1" applyAlignment="1" applyProtection="1">
      <alignment horizontal="center" vertical="center"/>
      <protection hidden="1"/>
    </xf>
    <xf numFmtId="0" fontId="43" fillId="11" borderId="0" xfId="0" applyFont="1" applyFill="1" applyAlignment="1" applyProtection="1">
      <alignment vertical="center" wrapText="1"/>
      <protection hidden="1"/>
    </xf>
    <xf numFmtId="0" fontId="16" fillId="12" borderId="1" xfId="0" applyFont="1" applyFill="1" applyBorder="1" applyAlignment="1" applyProtection="1">
      <alignment horizontal="center" wrapText="1"/>
      <protection hidden="1"/>
    </xf>
    <xf numFmtId="0" fontId="62" fillId="11" borderId="0" xfId="0" applyFont="1" applyFill="1" applyAlignment="1" applyProtection="1">
      <alignment horizontal="center" vertical="center"/>
      <protection hidden="1"/>
    </xf>
    <xf numFmtId="0" fontId="63" fillId="6" borderId="3" xfId="0" applyFont="1" applyFill="1" applyBorder="1" applyAlignment="1">
      <alignment horizontal="center" vertical="center"/>
    </xf>
    <xf numFmtId="0" fontId="65" fillId="13" borderId="8" xfId="0" applyFont="1" applyFill="1" applyBorder="1" applyAlignment="1">
      <alignment horizontal="center" vertical="center"/>
    </xf>
    <xf numFmtId="0" fontId="34" fillId="11" borderId="0" xfId="0" applyFont="1" applyFill="1"/>
    <xf numFmtId="0" fontId="34" fillId="11" borderId="0" xfId="0" applyFont="1" applyFill="1" applyAlignment="1">
      <alignment vertical="center"/>
    </xf>
    <xf numFmtId="9" fontId="63" fillId="6" borderId="36" xfId="2" applyFont="1" applyFill="1" applyBorder="1" applyAlignment="1">
      <alignment horizontal="center" vertical="center"/>
    </xf>
    <xf numFmtId="167" fontId="63" fillId="6" borderId="3" xfId="0" applyNumberFormat="1" applyFont="1" applyFill="1" applyBorder="1" applyAlignment="1">
      <alignment horizontal="center" vertical="center"/>
    </xf>
    <xf numFmtId="0" fontId="63" fillId="6" borderId="13" xfId="0" applyFont="1" applyFill="1" applyBorder="1" applyAlignment="1">
      <alignment horizontal="center" vertical="center"/>
    </xf>
    <xf numFmtId="0" fontId="63" fillId="6" borderId="4" xfId="0" applyFont="1" applyFill="1" applyBorder="1" applyAlignment="1">
      <alignment horizontal="center" vertical="center"/>
    </xf>
    <xf numFmtId="0" fontId="63" fillId="6" borderId="37" xfId="0" applyFont="1" applyFill="1" applyBorder="1" applyAlignment="1">
      <alignment vertical="center"/>
    </xf>
    <xf numFmtId="0" fontId="63" fillId="6" borderId="38" xfId="0" applyFont="1" applyFill="1" applyBorder="1" applyAlignment="1">
      <alignment vertical="center"/>
    </xf>
    <xf numFmtId="0" fontId="63" fillId="16" borderId="5" xfId="0" applyFont="1" applyFill="1" applyBorder="1" applyAlignment="1">
      <alignment horizontal="center" vertical="center"/>
    </xf>
    <xf numFmtId="0" fontId="63" fillId="6" borderId="10" xfId="0" applyFont="1" applyFill="1" applyBorder="1" applyAlignment="1">
      <alignment horizontal="center" vertical="center"/>
    </xf>
    <xf numFmtId="0" fontId="8" fillId="11" borderId="0" xfId="0" applyFont="1" applyFill="1" applyAlignment="1" applyProtection="1">
      <alignment horizontal="center"/>
      <protection hidden="1"/>
    </xf>
    <xf numFmtId="0" fontId="33" fillId="11" borderId="0" xfId="0" applyFont="1" applyFill="1" applyAlignment="1">
      <alignment vertical="center" wrapText="1"/>
    </xf>
    <xf numFmtId="0" fontId="56" fillId="11" borderId="0" xfId="0" applyFont="1" applyFill="1" applyAlignment="1">
      <alignment horizontal="center"/>
    </xf>
    <xf numFmtId="2" fontId="8" fillId="11" borderId="0" xfId="3" applyNumberFormat="1" applyFill="1" applyBorder="1" applyAlignment="1" applyProtection="1">
      <alignment horizontal="center" wrapText="1"/>
      <protection hidden="1"/>
    </xf>
    <xf numFmtId="2" fontId="8" fillId="11" borderId="0" xfId="3" applyNumberFormat="1" applyFill="1" applyBorder="1" applyProtection="1">
      <alignment horizontal="center" vertical="center" wrapText="1"/>
      <protection hidden="1"/>
    </xf>
    <xf numFmtId="0" fontId="0" fillId="6" borderId="0" xfId="0" applyFill="1" applyAlignment="1">
      <alignment horizontal="left" vertical="center"/>
    </xf>
    <xf numFmtId="0" fontId="0" fillId="6" borderId="0" xfId="0" applyFill="1"/>
    <xf numFmtId="0" fontId="1" fillId="6" borderId="0" xfId="0" applyFont="1" applyFill="1"/>
    <xf numFmtId="0" fontId="63" fillId="6" borderId="2" xfId="0" applyFont="1" applyFill="1" applyBorder="1" applyAlignment="1">
      <alignment horizontal="center"/>
    </xf>
    <xf numFmtId="0" fontId="63" fillId="6" borderId="1" xfId="0" applyFont="1" applyFill="1" applyBorder="1" applyAlignment="1">
      <alignment horizontal="center"/>
    </xf>
    <xf numFmtId="0" fontId="5" fillId="10" borderId="8" xfId="0" applyFont="1" applyFill="1" applyBorder="1"/>
    <xf numFmtId="0" fontId="1" fillId="0" borderId="0" xfId="0" applyFont="1"/>
    <xf numFmtId="0" fontId="63" fillId="17" borderId="0" xfId="0" applyFont="1" applyFill="1" applyAlignment="1">
      <alignment horizontal="center"/>
    </xf>
    <xf numFmtId="0" fontId="63" fillId="17" borderId="11" xfId="0" applyFont="1" applyFill="1" applyBorder="1" applyAlignment="1">
      <alignment horizontal="center"/>
    </xf>
    <xf numFmtId="0" fontId="63" fillId="17" borderId="10" xfId="0" applyFont="1" applyFill="1" applyBorder="1" applyAlignment="1">
      <alignment horizontal="center"/>
    </xf>
    <xf numFmtId="0" fontId="63" fillId="17" borderId="10" xfId="0" applyFont="1" applyFill="1" applyBorder="1" applyAlignment="1">
      <alignment horizontal="center" wrapText="1"/>
    </xf>
    <xf numFmtId="0" fontId="63" fillId="17" borderId="11" xfId="0" applyFont="1" applyFill="1" applyBorder="1" applyAlignment="1">
      <alignment horizontal="center" wrapText="1"/>
    </xf>
    <xf numFmtId="0" fontId="63" fillId="17" borderId="0" xfId="0" applyFont="1" applyFill="1" applyAlignment="1">
      <alignment horizontal="center" wrapText="1"/>
    </xf>
    <xf numFmtId="0" fontId="6" fillId="6" borderId="35" xfId="0" applyFont="1" applyFill="1" applyBorder="1"/>
    <xf numFmtId="0" fontId="63" fillId="12" borderId="10" xfId="0" applyFont="1" applyFill="1" applyBorder="1" applyAlignment="1">
      <alignment horizontal="center"/>
    </xf>
    <xf numFmtId="0" fontId="63" fillId="12" borderId="0" xfId="0" applyFont="1" applyFill="1" applyAlignment="1">
      <alignment horizontal="center"/>
    </xf>
    <xf numFmtId="0" fontId="63" fillId="12" borderId="11" xfId="0" applyFont="1" applyFill="1" applyBorder="1" applyAlignment="1">
      <alignment horizontal="center"/>
    </xf>
    <xf numFmtId="0" fontId="63" fillId="12" borderId="10" xfId="0" applyFont="1" applyFill="1" applyBorder="1" applyAlignment="1">
      <alignment horizontal="center" wrapText="1"/>
    </xf>
    <xf numFmtId="0" fontId="63" fillId="12" borderId="11" xfId="0" applyFont="1" applyFill="1" applyBorder="1" applyAlignment="1">
      <alignment horizontal="center" wrapText="1"/>
    </xf>
    <xf numFmtId="0" fontId="7" fillId="6" borderId="35" xfId="0" applyFont="1" applyFill="1" applyBorder="1"/>
    <xf numFmtId="0" fontId="65" fillId="13" borderId="8" xfId="0" applyFont="1" applyFill="1" applyBorder="1" applyAlignment="1">
      <alignment horizontal="center" wrapText="1"/>
    </xf>
    <xf numFmtId="0" fontId="66" fillId="13" borderId="8" xfId="0" applyFont="1" applyFill="1" applyBorder="1" applyAlignment="1">
      <alignment horizontal="center" wrapText="1"/>
    </xf>
    <xf numFmtId="0" fontId="65" fillId="13" borderId="7" xfId="0" applyFont="1" applyFill="1" applyBorder="1" applyAlignment="1">
      <alignment horizontal="center" wrapText="1"/>
    </xf>
    <xf numFmtId="0" fontId="65" fillId="13" borderId="9" xfId="0" applyFont="1" applyFill="1" applyBorder="1" applyAlignment="1">
      <alignment horizontal="center" wrapText="1"/>
    </xf>
    <xf numFmtId="9" fontId="63" fillId="6" borderId="1" xfId="2" applyFont="1" applyFill="1" applyBorder="1" applyAlignment="1">
      <alignment horizontal="center"/>
    </xf>
    <xf numFmtId="1" fontId="63" fillId="6" borderId="1" xfId="0" applyNumberFormat="1" applyFont="1" applyFill="1" applyBorder="1" applyAlignment="1">
      <alignment horizontal="center"/>
    </xf>
    <xf numFmtId="170" fontId="63" fillId="6" borderId="1" xfId="0" applyNumberFormat="1" applyFont="1" applyFill="1" applyBorder="1" applyAlignment="1">
      <alignment horizontal="center"/>
    </xf>
    <xf numFmtId="165" fontId="63" fillId="6" borderId="1" xfId="0" applyNumberFormat="1" applyFont="1" applyFill="1" applyBorder="1" applyAlignment="1">
      <alignment horizontal="center"/>
    </xf>
    <xf numFmtId="9" fontId="63" fillId="6" borderId="13" xfId="2" applyFont="1" applyFill="1" applyBorder="1" applyAlignment="1">
      <alignment horizontal="center"/>
    </xf>
    <xf numFmtId="0" fontId="63" fillId="6" borderId="6" xfId="0" applyFont="1" applyFill="1" applyBorder="1" applyAlignment="1">
      <alignment horizontal="center"/>
    </xf>
    <xf numFmtId="0" fontId="63" fillId="6" borderId="3" xfId="0" applyFont="1" applyFill="1" applyBorder="1" applyAlignment="1">
      <alignment horizontal="center"/>
    </xf>
    <xf numFmtId="9" fontId="63" fillId="6" borderId="3" xfId="2" applyFont="1" applyFill="1" applyBorder="1" applyAlignment="1">
      <alignment horizontal="center"/>
    </xf>
    <xf numFmtId="1" fontId="63" fillId="6" borderId="3" xfId="0" applyNumberFormat="1" applyFont="1" applyFill="1" applyBorder="1" applyAlignment="1">
      <alignment horizontal="center"/>
    </xf>
    <xf numFmtId="170" fontId="63" fillId="6" borderId="3" xfId="0" applyNumberFormat="1" applyFont="1" applyFill="1" applyBorder="1" applyAlignment="1">
      <alignment horizontal="center"/>
    </xf>
    <xf numFmtId="165" fontId="63" fillId="6" borderId="3" xfId="0" applyNumberFormat="1" applyFont="1" applyFill="1" applyBorder="1" applyAlignment="1">
      <alignment horizontal="center"/>
    </xf>
    <xf numFmtId="9" fontId="63" fillId="6" borderId="4" xfId="2" applyFont="1" applyFill="1" applyBorder="1" applyAlignment="1">
      <alignment horizontal="center"/>
    </xf>
    <xf numFmtId="0" fontId="63" fillId="6" borderId="0" xfId="0" applyFont="1" applyFill="1"/>
    <xf numFmtId="0" fontId="63" fillId="6" borderId="0" xfId="0" applyFont="1" applyFill="1" applyAlignment="1">
      <alignment horizontal="left" wrapText="1"/>
    </xf>
    <xf numFmtId="0" fontId="63" fillId="6" borderId="0" xfId="0" applyFont="1" applyFill="1" applyAlignment="1">
      <alignment wrapText="1"/>
    </xf>
    <xf numFmtId="0" fontId="63" fillId="6" borderId="0" xfId="0" applyFont="1" applyFill="1" applyAlignment="1">
      <alignment horizontal="left"/>
    </xf>
    <xf numFmtId="0" fontId="0" fillId="6" borderId="35" xfId="0" applyFill="1" applyBorder="1"/>
    <xf numFmtId="0" fontId="0" fillId="6" borderId="35" xfId="0" applyFill="1" applyBorder="1" applyAlignment="1">
      <alignment horizontal="center"/>
    </xf>
    <xf numFmtId="0" fontId="7" fillId="6" borderId="35" xfId="0" applyFont="1" applyFill="1" applyBorder="1" applyAlignment="1">
      <alignment vertical="center"/>
    </xf>
    <xf numFmtId="0" fontId="0" fillId="6" borderId="0" xfId="0" applyFill="1" applyAlignment="1">
      <alignment horizontal="center"/>
    </xf>
    <xf numFmtId="0" fontId="1" fillId="6" borderId="0" xfId="0" applyFont="1" applyFill="1" applyAlignment="1">
      <alignment vertical="center"/>
    </xf>
    <xf numFmtId="0" fontId="67" fillId="6" borderId="0" xfId="0" applyFont="1" applyFill="1"/>
    <xf numFmtId="0" fontId="63" fillId="18" borderId="1" xfId="0" applyFont="1" applyFill="1" applyBorder="1"/>
    <xf numFmtId="0" fontId="63" fillId="12" borderId="8" xfId="0" applyFont="1" applyFill="1" applyBorder="1" applyAlignment="1">
      <alignment horizontal="center"/>
    </xf>
    <xf numFmtId="0" fontId="63" fillId="12" borderId="9" xfId="0" applyFont="1" applyFill="1" applyBorder="1" applyAlignment="1">
      <alignment horizontal="center"/>
    </xf>
    <xf numFmtId="0" fontId="63" fillId="19" borderId="1" xfId="0" applyFont="1" applyFill="1" applyBorder="1"/>
    <xf numFmtId="0" fontId="63" fillId="11" borderId="1" xfId="0" applyFont="1" applyFill="1" applyBorder="1" applyAlignment="1">
      <alignment horizontal="center"/>
    </xf>
    <xf numFmtId="166" fontId="63" fillId="11" borderId="1" xfId="0" applyNumberFormat="1" applyFont="1" applyFill="1" applyBorder="1" applyAlignment="1">
      <alignment horizontal="center"/>
    </xf>
    <xf numFmtId="0" fontId="63" fillId="11" borderId="3" xfId="0" applyFont="1" applyFill="1" applyBorder="1" applyAlignment="1">
      <alignment horizontal="center"/>
    </xf>
    <xf numFmtId="166" fontId="63" fillId="11" borderId="3" xfId="0" applyNumberFormat="1" applyFont="1" applyFill="1" applyBorder="1" applyAlignment="1">
      <alignment horizontal="center"/>
    </xf>
    <xf numFmtId="2" fontId="63" fillId="11" borderId="1" xfId="0" applyNumberFormat="1" applyFont="1" applyFill="1" applyBorder="1" applyAlignment="1">
      <alignment horizontal="center"/>
    </xf>
    <xf numFmtId="2" fontId="63" fillId="11" borderId="3" xfId="0" applyNumberFormat="1" applyFont="1" applyFill="1" applyBorder="1" applyAlignment="1">
      <alignment horizontal="center"/>
    </xf>
    <xf numFmtId="0" fontId="63" fillId="11" borderId="1" xfId="0" applyFont="1" applyFill="1" applyBorder="1" applyAlignment="1">
      <alignment horizontal="center" vertical="center"/>
    </xf>
    <xf numFmtId="0" fontId="63" fillId="11" borderId="3" xfId="0" applyFont="1" applyFill="1" applyBorder="1" applyAlignment="1">
      <alignment horizontal="center" vertical="center"/>
    </xf>
    <xf numFmtId="167" fontId="63" fillId="11" borderId="1" xfId="0" applyNumberFormat="1" applyFont="1" applyFill="1" applyBorder="1" applyAlignment="1">
      <alignment horizontal="center" vertical="center"/>
    </xf>
    <xf numFmtId="167" fontId="63" fillId="11" borderId="3" xfId="0" applyNumberFormat="1" applyFont="1" applyFill="1" applyBorder="1" applyAlignment="1">
      <alignment horizontal="center" vertical="center"/>
    </xf>
    <xf numFmtId="0" fontId="12" fillId="11" borderId="0" xfId="0" applyFont="1" applyFill="1" applyAlignment="1">
      <alignment vertical="center"/>
    </xf>
    <xf numFmtId="0" fontId="46" fillId="11" borderId="0" xfId="0" applyFont="1" applyFill="1" applyAlignment="1" applyProtection="1">
      <alignment horizontal="center" vertical="center"/>
      <protection hidden="1"/>
    </xf>
    <xf numFmtId="0" fontId="15" fillId="11" borderId="0" xfId="0" applyFont="1" applyFill="1" applyAlignment="1" applyProtection="1">
      <alignment horizontal="center" vertical="center"/>
      <protection hidden="1"/>
    </xf>
    <xf numFmtId="0" fontId="59" fillId="11" borderId="0" xfId="0" quotePrefix="1" applyFont="1" applyFill="1" applyAlignment="1" applyProtection="1">
      <alignment horizontal="right" vertical="center"/>
      <protection hidden="1"/>
    </xf>
    <xf numFmtId="0" fontId="28" fillId="11" borderId="0" xfId="0" applyFont="1" applyFill="1" applyAlignment="1" applyProtection="1">
      <alignment horizontal="center" vertical="center" wrapText="1"/>
      <protection hidden="1"/>
    </xf>
    <xf numFmtId="0" fontId="1" fillId="6" borderId="11" xfId="0" applyFont="1" applyFill="1" applyBorder="1"/>
    <xf numFmtId="0" fontId="59" fillId="11" borderId="0" xfId="0" applyFont="1" applyFill="1" applyAlignment="1" applyProtection="1">
      <alignment horizontal="right"/>
      <protection hidden="1"/>
    </xf>
    <xf numFmtId="0" fontId="75" fillId="11" borderId="0" xfId="0" applyFont="1" applyFill="1" applyAlignment="1" applyProtection="1">
      <alignment horizontal="center" vertical="center" wrapText="1"/>
      <protection hidden="1"/>
    </xf>
    <xf numFmtId="1" fontId="63" fillId="6" borderId="4" xfId="0" applyNumberFormat="1" applyFont="1" applyFill="1" applyBorder="1" applyAlignment="1">
      <alignment horizontal="center" vertical="center"/>
    </xf>
    <xf numFmtId="0" fontId="70" fillId="6" borderId="0" xfId="0" applyFont="1" applyFill="1" applyAlignment="1">
      <alignment horizontal="center" vertical="center" wrapText="1"/>
    </xf>
    <xf numFmtId="0" fontId="63" fillId="6" borderId="6" xfId="0" applyFont="1" applyFill="1" applyBorder="1" applyAlignment="1">
      <alignment horizontal="center" vertical="center"/>
    </xf>
    <xf numFmtId="0" fontId="70" fillId="6" borderId="5" xfId="0" applyFont="1" applyFill="1" applyBorder="1" applyAlignment="1">
      <alignment horizontal="left" vertical="top" wrapText="1"/>
    </xf>
    <xf numFmtId="0" fontId="70" fillId="6" borderId="5" xfId="0" applyFont="1" applyFill="1" applyBorder="1" applyAlignment="1">
      <alignment horizontal="left" vertical="top"/>
    </xf>
    <xf numFmtId="0" fontId="63" fillId="16" borderId="0" xfId="0" applyFont="1" applyFill="1" applyAlignment="1">
      <alignment horizontal="center" vertical="center"/>
    </xf>
    <xf numFmtId="0" fontId="63" fillId="12" borderId="0" xfId="0" applyFont="1" applyFill="1" applyAlignment="1">
      <alignment horizontal="center" vertical="center"/>
    </xf>
    <xf numFmtId="0" fontId="63" fillId="6" borderId="0" xfId="0" applyFont="1" applyFill="1" applyAlignment="1">
      <alignment horizontal="center" vertical="center"/>
    </xf>
    <xf numFmtId="0" fontId="65" fillId="13" borderId="4" xfId="0" applyFont="1" applyFill="1" applyBorder="1" applyAlignment="1">
      <alignment horizontal="left" vertical="center" wrapText="1"/>
    </xf>
    <xf numFmtId="0" fontId="63" fillId="12" borderId="5" xfId="0" applyFont="1" applyFill="1" applyBorder="1" applyAlignment="1">
      <alignment horizontal="center" vertical="center"/>
    </xf>
    <xf numFmtId="0" fontId="65" fillId="13" borderId="10" xfId="0" applyFont="1" applyFill="1" applyBorder="1" applyAlignment="1">
      <alignment horizontal="left" vertical="center" wrapText="1"/>
    </xf>
    <xf numFmtId="0" fontId="65" fillId="13" borderId="7" xfId="0" applyFont="1" applyFill="1" applyBorder="1" applyAlignment="1">
      <alignment horizontal="left" vertical="center" wrapText="1"/>
    </xf>
    <xf numFmtId="0" fontId="63" fillId="16" borderId="8" xfId="0" applyFont="1" applyFill="1" applyBorder="1" applyAlignment="1">
      <alignment horizontal="center" vertical="center"/>
    </xf>
    <xf numFmtId="0" fontId="63" fillId="6" borderId="9" xfId="0" applyFont="1" applyFill="1" applyBorder="1" applyAlignment="1">
      <alignment horizontal="center" vertical="center"/>
    </xf>
    <xf numFmtId="0" fontId="70" fillId="6" borderId="0" xfId="0" applyFont="1" applyFill="1" applyAlignment="1">
      <alignment horizontal="left" vertical="center"/>
    </xf>
    <xf numFmtId="0" fontId="70" fillId="6" borderId="10" xfId="0" applyFont="1" applyFill="1" applyBorder="1" applyAlignment="1">
      <alignment horizontal="left" vertical="center"/>
    </xf>
    <xf numFmtId="0" fontId="0" fillId="11" borderId="0" xfId="0" applyFill="1"/>
    <xf numFmtId="0" fontId="9" fillId="13" borderId="13" xfId="0" applyFont="1" applyFill="1" applyBorder="1" applyAlignment="1">
      <alignment vertical="center"/>
    </xf>
    <xf numFmtId="0" fontId="78" fillId="13" borderId="14" xfId="0" applyFont="1" applyFill="1" applyBorder="1" applyAlignment="1">
      <alignment horizontal="right" vertical="top"/>
    </xf>
    <xf numFmtId="0" fontId="9" fillId="13" borderId="14" xfId="0" applyFont="1" applyFill="1" applyBorder="1" applyAlignment="1">
      <alignment vertical="center"/>
    </xf>
    <xf numFmtId="0" fontId="8" fillId="13" borderId="14" xfId="0" applyFont="1" applyFill="1" applyBorder="1" applyAlignment="1">
      <alignment vertical="center"/>
    </xf>
    <xf numFmtId="0" fontId="8" fillId="13" borderId="2" xfId="0" applyFont="1" applyFill="1" applyBorder="1" applyAlignment="1">
      <alignment vertical="center"/>
    </xf>
    <xf numFmtId="0" fontId="52" fillId="12" borderId="0" xfId="0" applyFont="1" applyFill="1" applyAlignment="1" applyProtection="1">
      <alignment horizontal="left" vertical="center"/>
      <protection hidden="1"/>
    </xf>
    <xf numFmtId="0" fontId="8" fillId="11" borderId="0" xfId="0" applyFont="1" applyFill="1" applyAlignment="1">
      <alignment horizontal="right" vertical="center"/>
    </xf>
    <xf numFmtId="0" fontId="19" fillId="13" borderId="4" xfId="0" applyFont="1" applyFill="1" applyBorder="1" applyAlignment="1">
      <alignment horizontal="center" vertical="center" wrapText="1"/>
    </xf>
    <xf numFmtId="2" fontId="19" fillId="13" borderId="3" xfId="0" applyNumberFormat="1" applyFont="1" applyFill="1" applyBorder="1" applyAlignment="1">
      <alignment horizontal="center" vertical="center" wrapText="1"/>
    </xf>
    <xf numFmtId="0" fontId="19" fillId="13" borderId="0" xfId="0" applyFont="1" applyFill="1" applyAlignment="1">
      <alignment horizontal="center" vertical="center"/>
    </xf>
    <xf numFmtId="0" fontId="17" fillId="12" borderId="4"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63" fillId="20" borderId="1" xfId="0" applyFont="1" applyFill="1" applyBorder="1" applyAlignment="1">
      <alignment vertical="center"/>
    </xf>
    <xf numFmtId="0" fontId="63" fillId="6" borderId="14" xfId="0" applyFont="1" applyFill="1" applyBorder="1" applyAlignment="1">
      <alignment vertical="center"/>
    </xf>
    <xf numFmtId="0" fontId="63" fillId="6" borderId="2" xfId="0" applyFont="1" applyFill="1" applyBorder="1" applyAlignment="1">
      <alignment vertical="center"/>
    </xf>
    <xf numFmtId="0" fontId="7" fillId="6" borderId="0" xfId="0" applyFont="1" applyFill="1"/>
    <xf numFmtId="0" fontId="7" fillId="6" borderId="0" xfId="0" applyFont="1" applyFill="1" applyAlignment="1">
      <alignment horizontal="left" vertical="center"/>
    </xf>
    <xf numFmtId="0" fontId="7" fillId="6" borderId="0" xfId="0" applyFont="1" applyFill="1" applyAlignment="1">
      <alignment vertical="center"/>
    </xf>
    <xf numFmtId="0" fontId="63" fillId="6" borderId="0" xfId="0" applyFont="1" applyFill="1" applyAlignment="1">
      <alignment horizontal="left" vertical="center"/>
    </xf>
    <xf numFmtId="0" fontId="33" fillId="11" borderId="0" xfId="0" applyFont="1" applyFill="1" applyAlignment="1">
      <alignment wrapText="1"/>
    </xf>
    <xf numFmtId="0" fontId="82" fillId="11" borderId="0" xfId="4" applyFont="1" applyFill="1" applyAlignment="1">
      <alignment horizontal="left"/>
    </xf>
    <xf numFmtId="0" fontId="82" fillId="11" borderId="0" xfId="4" applyFont="1" applyFill="1" applyBorder="1" applyAlignment="1">
      <alignment horizontal="left"/>
    </xf>
    <xf numFmtId="0" fontId="67" fillId="6" borderId="0" xfId="0" applyFont="1" applyFill="1" applyAlignment="1">
      <alignment horizontal="center" vertical="center"/>
    </xf>
    <xf numFmtId="0" fontId="63" fillId="6" borderId="11" xfId="0" applyFont="1" applyFill="1" applyBorder="1" applyAlignment="1">
      <alignment horizontal="right"/>
    </xf>
    <xf numFmtId="0" fontId="83" fillId="6" borderId="11" xfId="0" applyFont="1" applyFill="1" applyBorder="1" applyAlignment="1">
      <alignment horizontal="right"/>
    </xf>
    <xf numFmtId="165" fontId="63" fillId="6" borderId="12" xfId="0" applyNumberFormat="1" applyFont="1" applyFill="1" applyBorder="1" applyAlignment="1">
      <alignment horizontal="center" vertical="center"/>
    </xf>
    <xf numFmtId="165" fontId="63" fillId="6" borderId="3" xfId="0" applyNumberFormat="1" applyFont="1" applyFill="1" applyBorder="1" applyAlignment="1">
      <alignment horizontal="center" vertical="center"/>
    </xf>
    <xf numFmtId="0" fontId="44" fillId="13" borderId="0" xfId="0" applyFont="1" applyFill="1" applyAlignment="1">
      <alignment horizontal="center" vertical="center" wrapText="1"/>
    </xf>
    <xf numFmtId="0" fontId="67" fillId="16" borderId="3" xfId="0" applyFont="1" applyFill="1" applyBorder="1"/>
    <xf numFmtId="0" fontId="63" fillId="17" borderId="36" xfId="0" applyFont="1" applyFill="1" applyBorder="1" applyAlignment="1">
      <alignment horizontal="center" vertical="center"/>
    </xf>
    <xf numFmtId="0" fontId="63" fillId="17" borderId="10" xfId="0" applyFont="1" applyFill="1" applyBorder="1" applyAlignment="1">
      <alignment horizontal="center" vertical="center"/>
    </xf>
    <xf numFmtId="0" fontId="63" fillId="17" borderId="0" xfId="0" applyFont="1" applyFill="1" applyAlignment="1">
      <alignment horizontal="center" vertical="center"/>
    </xf>
    <xf numFmtId="0" fontId="63" fillId="17" borderId="11" xfId="0" applyFont="1" applyFill="1" applyBorder="1" applyAlignment="1">
      <alignment horizontal="center" vertical="center"/>
    </xf>
    <xf numFmtId="0" fontId="63" fillId="17" borderId="0" xfId="0" applyFont="1" applyFill="1" applyAlignment="1">
      <alignment horizontal="center" vertical="center" wrapText="1"/>
    </xf>
    <xf numFmtId="0" fontId="87" fillId="6" borderId="0" xfId="0" applyFont="1" applyFill="1" applyAlignment="1">
      <alignment vertical="center" wrapText="1"/>
    </xf>
    <xf numFmtId="0" fontId="71" fillId="12" borderId="12" xfId="0" applyFont="1" applyFill="1" applyBorder="1" applyAlignment="1">
      <alignment horizontal="center" vertical="center"/>
    </xf>
    <xf numFmtId="0" fontId="71" fillId="12" borderId="7" xfId="0" applyFont="1" applyFill="1" applyBorder="1" applyAlignment="1">
      <alignment horizontal="center" vertical="center"/>
    </xf>
    <xf numFmtId="0" fontId="71" fillId="12" borderId="8" xfId="0" applyFont="1" applyFill="1" applyBorder="1" applyAlignment="1">
      <alignment horizontal="center" vertical="center"/>
    </xf>
    <xf numFmtId="0" fontId="71" fillId="12" borderId="9" xfId="0" applyFont="1" applyFill="1" applyBorder="1" applyAlignment="1">
      <alignment horizontal="center" vertical="center"/>
    </xf>
    <xf numFmtId="0" fontId="71" fillId="12" borderId="8" xfId="0" applyFont="1" applyFill="1" applyBorder="1" applyAlignment="1">
      <alignment horizontal="center" vertical="center" wrapText="1"/>
    </xf>
    <xf numFmtId="0" fontId="63" fillId="6" borderId="11" xfId="0" applyFont="1" applyFill="1" applyBorder="1" applyAlignment="1">
      <alignment horizontal="right" vertical="center"/>
    </xf>
    <xf numFmtId="0" fontId="83" fillId="6" borderId="11" xfId="0" applyFont="1" applyFill="1" applyBorder="1" applyAlignment="1">
      <alignment horizontal="right" vertical="center"/>
    </xf>
    <xf numFmtId="0" fontId="71" fillId="12" borderId="0" xfId="0" applyFont="1" applyFill="1" applyAlignment="1">
      <alignment horizontal="center" vertical="center"/>
    </xf>
    <xf numFmtId="0" fontId="0" fillId="6" borderId="0" xfId="0" applyFill="1" applyAlignment="1">
      <alignment horizontal="center" vertical="center"/>
    </xf>
    <xf numFmtId="0" fontId="16" fillId="6" borderId="3" xfId="1" applyFont="1" applyFill="1" applyBorder="1" applyAlignment="1" applyProtection="1">
      <alignment horizontal="left" vertical="center"/>
      <protection locked="0"/>
    </xf>
    <xf numFmtId="0" fontId="16" fillId="11" borderId="0" xfId="1" applyFont="1" applyFill="1" applyAlignment="1" applyProtection="1">
      <alignment horizontal="left" vertical="center" wrapText="1"/>
      <protection hidden="1"/>
    </xf>
    <xf numFmtId="166" fontId="8" fillId="11" borderId="0" xfId="0" applyNumberFormat="1" applyFont="1" applyFill="1" applyAlignment="1">
      <alignment horizontal="center"/>
    </xf>
    <xf numFmtId="0" fontId="8" fillId="13" borderId="0" xfId="0" applyFont="1" applyFill="1"/>
    <xf numFmtId="0" fontId="47" fillId="5" borderId="0" xfId="0" applyFont="1" applyFill="1" applyAlignment="1">
      <alignment horizontal="center" vertical="center"/>
    </xf>
    <xf numFmtId="0" fontId="65" fillId="13" borderId="1" xfId="0" applyFont="1" applyFill="1" applyBorder="1" applyAlignment="1">
      <alignment horizontal="center" vertical="center" wrapText="1"/>
    </xf>
    <xf numFmtId="0" fontId="63" fillId="0" borderId="1" xfId="0" applyFont="1" applyBorder="1" applyAlignment="1">
      <alignment horizontal="center" vertical="center" wrapText="1"/>
    </xf>
    <xf numFmtId="0" fontId="63" fillId="0" borderId="1" xfId="0" applyFont="1" applyBorder="1" applyAlignment="1">
      <alignment horizontal="left" vertical="center" wrapText="1"/>
    </xf>
    <xf numFmtId="0" fontId="63" fillId="0" borderId="1" xfId="0" applyFont="1" applyBorder="1" applyAlignment="1">
      <alignment vertical="center"/>
    </xf>
    <xf numFmtId="0" fontId="63" fillId="0" borderId="1" xfId="0" applyFont="1" applyBorder="1" applyAlignment="1">
      <alignment horizontal="center" vertical="center"/>
    </xf>
    <xf numFmtId="0" fontId="71" fillId="0" borderId="1" xfId="0" applyFont="1" applyBorder="1" applyAlignment="1">
      <alignment horizontal="left" vertical="center" wrapText="1"/>
    </xf>
    <xf numFmtId="0" fontId="63" fillId="0" borderId="1" xfId="0" applyFont="1" applyBorder="1" applyAlignment="1">
      <alignment vertical="center" wrapText="1"/>
    </xf>
    <xf numFmtId="0" fontId="63" fillId="0" borderId="39" xfId="0" applyFont="1" applyBorder="1" applyAlignment="1">
      <alignment horizontal="center" vertical="center" wrapText="1"/>
    </xf>
    <xf numFmtId="164" fontId="44" fillId="12" borderId="1" xfId="0" applyNumberFormat="1" applyFont="1" applyFill="1" applyBorder="1" applyAlignment="1" applyProtection="1">
      <alignment horizontal="center" vertical="center" wrapText="1"/>
      <protection hidden="1"/>
    </xf>
    <xf numFmtId="164" fontId="42" fillId="11" borderId="0" xfId="0" quotePrefix="1" applyNumberFormat="1" applyFont="1" applyFill="1" applyAlignment="1" applyProtection="1">
      <alignment horizontal="center" vertical="center" wrapText="1"/>
      <protection hidden="1"/>
    </xf>
    <xf numFmtId="164" fontId="42" fillId="11" borderId="0" xfId="0" applyNumberFormat="1" applyFont="1" applyFill="1" applyAlignment="1" applyProtection="1">
      <alignment horizontal="center" vertical="center" wrapText="1"/>
      <protection hidden="1"/>
    </xf>
    <xf numFmtId="164" fontId="43" fillId="11" borderId="0" xfId="0" applyNumberFormat="1" applyFont="1" applyFill="1" applyAlignment="1">
      <alignment horizontal="center"/>
    </xf>
    <xf numFmtId="0" fontId="1" fillId="6" borderId="0" xfId="0" applyFont="1" applyFill="1" applyAlignment="1">
      <alignment horizontal="left" vertical="center"/>
    </xf>
    <xf numFmtId="0" fontId="0" fillId="6" borderId="0" xfId="0" applyFill="1" applyAlignment="1">
      <alignment vertical="center" wrapText="1"/>
    </xf>
    <xf numFmtId="0" fontId="65" fillId="13" borderId="0" xfId="0" applyFont="1" applyFill="1" applyAlignment="1">
      <alignment horizontal="center" vertical="center"/>
    </xf>
    <xf numFmtId="0" fontId="65" fillId="0" borderId="1" xfId="0" applyFont="1" applyBorder="1" applyAlignment="1">
      <alignment horizontal="center" vertical="center" wrapText="1"/>
    </xf>
    <xf numFmtId="0" fontId="63" fillId="6" borderId="0" xfId="0" applyFont="1" applyFill="1" applyAlignment="1">
      <alignment horizontal="left" vertical="center" wrapText="1"/>
    </xf>
    <xf numFmtId="0" fontId="68" fillId="12" borderId="0" xfId="0" applyFont="1" applyFill="1" applyAlignment="1">
      <alignment horizontal="center" vertical="center"/>
    </xf>
    <xf numFmtId="0" fontId="63" fillId="12" borderId="0" xfId="0" applyFont="1" applyFill="1" applyAlignment="1">
      <alignment vertical="center"/>
    </xf>
    <xf numFmtId="0" fontId="71" fillId="0" borderId="1" xfId="0" quotePrefix="1" applyFont="1" applyBorder="1" applyAlignment="1">
      <alignment horizontal="left" vertical="center" wrapText="1"/>
    </xf>
    <xf numFmtId="0" fontId="63" fillId="0" borderId="3" xfId="0" applyFont="1" applyBorder="1" applyAlignment="1">
      <alignment horizontal="center" vertical="center" wrapText="1"/>
    </xf>
    <xf numFmtId="0" fontId="63" fillId="0" borderId="3" xfId="0" applyFont="1" applyBorder="1" applyAlignment="1">
      <alignment vertical="center" wrapText="1"/>
    </xf>
    <xf numFmtId="0" fontId="63" fillId="0" borderId="3" xfId="0" applyFont="1" applyBorder="1" applyAlignment="1">
      <alignment vertical="center"/>
    </xf>
    <xf numFmtId="0" fontId="63" fillId="0" borderId="3" xfId="0" applyFont="1" applyBorder="1" applyAlignment="1">
      <alignment horizontal="center" vertical="center"/>
    </xf>
    <xf numFmtId="164" fontId="68" fillId="12" borderId="0" xfId="0" applyNumberFormat="1" applyFont="1" applyFill="1" applyAlignment="1">
      <alignment horizontal="center" vertical="center"/>
    </xf>
    <xf numFmtId="0" fontId="0" fillId="6" borderId="0" xfId="0" applyFill="1" applyAlignment="1">
      <alignment horizontal="center" vertical="center" wrapText="1"/>
    </xf>
    <xf numFmtId="0" fontId="72" fillId="6" borderId="1" xfId="0" applyFont="1" applyFill="1" applyBorder="1" applyAlignment="1">
      <alignment vertical="center" wrapText="1"/>
    </xf>
    <xf numFmtId="0" fontId="71" fillId="6" borderId="1" xfId="0" applyFont="1" applyFill="1" applyBorder="1" applyAlignment="1">
      <alignment vertical="center" wrapText="1"/>
    </xf>
    <xf numFmtId="0" fontId="72" fillId="6" borderId="1" xfId="0" applyFont="1" applyFill="1" applyBorder="1" applyAlignment="1">
      <alignment horizontal="left" vertical="center" wrapText="1"/>
    </xf>
    <xf numFmtId="0" fontId="85" fillId="11" borderId="0" xfId="0" applyFont="1" applyFill="1" applyProtection="1">
      <protection hidden="1"/>
    </xf>
    <xf numFmtId="0" fontId="46" fillId="11" borderId="0" xfId="0" applyFont="1" applyFill="1" applyAlignment="1" applyProtection="1">
      <alignment horizontal="center"/>
      <protection hidden="1"/>
    </xf>
    <xf numFmtId="0" fontId="28" fillId="11" borderId="0" xfId="0" applyFont="1" applyFill="1" applyAlignment="1" applyProtection="1">
      <alignment horizontal="center"/>
      <protection hidden="1"/>
    </xf>
    <xf numFmtId="0" fontId="15" fillId="5" borderId="1" xfId="0" applyFont="1" applyFill="1" applyBorder="1" applyAlignment="1" applyProtection="1">
      <alignment horizontal="center" vertical="center"/>
      <protection hidden="1"/>
    </xf>
    <xf numFmtId="2" fontId="34" fillId="12" borderId="1" xfId="0" applyNumberFormat="1" applyFont="1" applyFill="1" applyBorder="1" applyAlignment="1" applyProtection="1">
      <alignment horizontal="center" vertical="center" wrapText="1"/>
      <protection hidden="1"/>
    </xf>
    <xf numFmtId="164" fontId="34" fillId="12" borderId="1" xfId="0" applyNumberFormat="1" applyFont="1" applyFill="1" applyBorder="1" applyAlignment="1" applyProtection="1">
      <alignment horizontal="center" vertical="center" wrapText="1"/>
      <protection hidden="1"/>
    </xf>
    <xf numFmtId="0" fontId="86" fillId="11" borderId="0" xfId="0" applyFont="1" applyFill="1" applyAlignment="1" applyProtection="1">
      <alignment vertical="center"/>
      <protection hidden="1"/>
    </xf>
    <xf numFmtId="0" fontId="78" fillId="11" borderId="0" xfId="0" applyFont="1" applyFill="1" applyAlignment="1" applyProtection="1">
      <alignment horizontal="center" vertical="center"/>
      <protection hidden="1"/>
    </xf>
    <xf numFmtId="0" fontId="78" fillId="11" borderId="0" xfId="0" applyFont="1" applyFill="1" applyAlignment="1" applyProtection="1">
      <alignment horizontal="right" vertical="center"/>
      <protection hidden="1"/>
    </xf>
    <xf numFmtId="0" fontId="9" fillId="13" borderId="14" xfId="0" applyFont="1" applyFill="1" applyBorder="1" applyAlignment="1" applyProtection="1">
      <alignment vertical="center"/>
      <protection hidden="1"/>
    </xf>
    <xf numFmtId="0" fontId="16" fillId="12" borderId="1" xfId="0" applyFont="1" applyFill="1" applyBorder="1" applyAlignment="1" applyProtection="1">
      <alignment horizontal="center"/>
      <protection hidden="1"/>
    </xf>
    <xf numFmtId="0" fontId="78" fillId="13" borderId="14" xfId="0" applyFont="1" applyFill="1" applyBorder="1" applyAlignment="1" applyProtection="1">
      <alignment horizontal="right" vertical="top"/>
      <protection hidden="1"/>
    </xf>
    <xf numFmtId="9" fontId="16" fillId="12" borderId="1" xfId="2" applyFont="1" applyFill="1" applyBorder="1" applyAlignment="1" applyProtection="1">
      <alignment horizontal="center" vertical="center" wrapText="1"/>
      <protection hidden="1"/>
    </xf>
    <xf numFmtId="9" fontId="28" fillId="11" borderId="0" xfId="2" applyFont="1" applyFill="1" applyAlignment="1" applyProtection="1">
      <alignment horizontal="center" vertical="center" wrapText="1"/>
      <protection hidden="1"/>
    </xf>
    <xf numFmtId="0" fontId="15" fillId="11" borderId="0" xfId="0" applyFont="1" applyFill="1" applyAlignment="1" applyProtection="1">
      <alignment horizontal="center"/>
      <protection hidden="1"/>
    </xf>
    <xf numFmtId="2" fontId="16" fillId="6" borderId="1" xfId="1" applyNumberFormat="1" applyFont="1" applyFill="1" applyBorder="1" applyAlignment="1" applyProtection="1">
      <alignment horizontal="center" vertical="center" wrapText="1"/>
      <protection locked="0"/>
    </xf>
    <xf numFmtId="2" fontId="28" fillId="11" borderId="0" xfId="1" applyNumberFormat="1" applyFont="1" applyFill="1" applyAlignment="1" applyProtection="1">
      <alignment horizontal="center" vertical="center"/>
      <protection locked="0"/>
    </xf>
    <xf numFmtId="2" fontId="16" fillId="6" borderId="1" xfId="1" applyNumberFormat="1" applyFont="1" applyFill="1" applyBorder="1" applyAlignment="1" applyProtection="1">
      <alignment horizontal="center" vertical="center"/>
      <protection locked="0"/>
    </xf>
    <xf numFmtId="2" fontId="8" fillId="6" borderId="1" xfId="1" applyNumberFormat="1" applyFont="1" applyFill="1" applyBorder="1" applyAlignment="1" applyProtection="1">
      <alignment horizontal="center" vertical="center"/>
      <protection locked="0"/>
    </xf>
    <xf numFmtId="164" fontId="16" fillId="6" borderId="1" xfId="1" applyNumberFormat="1" applyFont="1" applyFill="1" applyBorder="1" applyAlignment="1" applyProtection="1">
      <alignment horizontal="center" vertical="center"/>
      <protection locked="0"/>
    </xf>
    <xf numFmtId="0" fontId="19" fillId="13" borderId="14" xfId="0" applyFont="1" applyFill="1" applyBorder="1" applyAlignment="1">
      <alignment horizontal="left" vertical="center"/>
    </xf>
    <xf numFmtId="0" fontId="19" fillId="13" borderId="14" xfId="0" applyFont="1" applyFill="1" applyBorder="1" applyAlignment="1">
      <alignment horizontal="center" vertical="center"/>
    </xf>
    <xf numFmtId="0" fontId="19" fillId="13" borderId="2" xfId="0" applyFont="1" applyFill="1" applyBorder="1" applyAlignment="1">
      <alignment horizontal="center" vertical="center"/>
    </xf>
    <xf numFmtId="0" fontId="19" fillId="13" borderId="5" xfId="0" applyFont="1" applyFill="1" applyBorder="1" applyAlignment="1">
      <alignment horizontal="left" vertical="center"/>
    </xf>
    <xf numFmtId="0" fontId="19" fillId="13" borderId="8"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11" borderId="0" xfId="0" applyFont="1" applyFill="1" applyAlignment="1">
      <alignment horizontal="left" vertical="center" wrapText="1"/>
    </xf>
    <xf numFmtId="0" fontId="25" fillId="7"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164" fontId="22" fillId="12" borderId="1" xfId="0" applyNumberFormat="1" applyFont="1" applyFill="1" applyBorder="1" applyAlignment="1">
      <alignment horizontal="center" vertical="center" wrapText="1"/>
    </xf>
    <xf numFmtId="0" fontId="22" fillId="6" borderId="1" xfId="1" applyFont="1" applyFill="1" applyBorder="1" applyAlignment="1">
      <alignment horizontal="center" vertical="center" wrapText="1"/>
    </xf>
    <xf numFmtId="164" fontId="51" fillId="14" borderId="4" xfId="0" applyNumberFormat="1" applyFont="1" applyFill="1" applyBorder="1" applyAlignment="1">
      <alignment horizontal="center" vertical="center" wrapText="1"/>
    </xf>
    <xf numFmtId="164" fontId="51" fillId="14" borderId="5" xfId="0" applyNumberFormat="1" applyFont="1" applyFill="1" applyBorder="1" applyAlignment="1">
      <alignment horizontal="center" vertical="center" wrapText="1"/>
    </xf>
    <xf numFmtId="164" fontId="51" fillId="14" borderId="6" xfId="0" applyNumberFormat="1" applyFont="1" applyFill="1" applyBorder="1" applyAlignment="1">
      <alignment horizontal="center" vertical="center" wrapText="1"/>
    </xf>
    <xf numFmtId="164" fontId="51" fillId="14" borderId="7" xfId="0" applyNumberFormat="1" applyFont="1" applyFill="1" applyBorder="1" applyAlignment="1">
      <alignment horizontal="center" vertical="center" wrapText="1"/>
    </xf>
    <xf numFmtId="164" fontId="51" fillId="14" borderId="8" xfId="0" applyNumberFormat="1" applyFont="1" applyFill="1" applyBorder="1" applyAlignment="1">
      <alignment horizontal="center" vertical="center" wrapText="1"/>
    </xf>
    <xf numFmtId="164" fontId="51" fillId="14" borderId="9" xfId="0" applyNumberFormat="1" applyFont="1" applyFill="1" applyBorder="1" applyAlignment="1">
      <alignment horizontal="center" vertical="center" wrapText="1"/>
    </xf>
    <xf numFmtId="0" fontId="17" fillId="11" borderId="11" xfId="0" applyFont="1" applyFill="1" applyBorder="1" applyAlignment="1">
      <alignment horizontal="left" vertical="center" wrapText="1"/>
    </xf>
    <xf numFmtId="0" fontId="19" fillId="4" borderId="14" xfId="0" applyFont="1" applyFill="1" applyBorder="1" applyAlignment="1">
      <alignment horizontal="left" vertical="center"/>
    </xf>
    <xf numFmtId="0" fontId="19" fillId="4" borderId="14" xfId="0" applyFont="1" applyFill="1" applyBorder="1" applyAlignment="1">
      <alignment horizontal="center" vertical="center"/>
    </xf>
    <xf numFmtId="0" fontId="17" fillId="2" borderId="1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6"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14" fontId="17" fillId="2" borderId="18" xfId="0" applyNumberFormat="1" applyFont="1" applyFill="1" applyBorder="1" applyAlignment="1">
      <alignment horizontal="center" vertical="center" wrapText="1"/>
    </xf>
    <xf numFmtId="0" fontId="17" fillId="2" borderId="27" xfId="0" applyFont="1" applyFill="1" applyBorder="1" applyAlignment="1">
      <alignment horizontal="center" vertical="center" wrapText="1"/>
    </xf>
    <xf numFmtId="14" fontId="17" fillId="2" borderId="15" xfId="0" applyNumberFormat="1"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17" fillId="2" borderId="18"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9" fillId="4" borderId="2" xfId="0" applyFont="1" applyFill="1" applyBorder="1" applyAlignment="1">
      <alignment horizontal="center" vertical="center"/>
    </xf>
    <xf numFmtId="0" fontId="20" fillId="2" borderId="21" xfId="0" applyFont="1" applyFill="1" applyBorder="1" applyAlignment="1">
      <alignment horizontal="center" vertical="center" wrapText="1"/>
    </xf>
    <xf numFmtId="0" fontId="43" fillId="11" borderId="0" xfId="0" applyFont="1" applyFill="1" applyAlignment="1">
      <alignment horizontal="left" vertical="center" wrapText="1"/>
    </xf>
    <xf numFmtId="0" fontId="10" fillId="13" borderId="5" xfId="0" applyFont="1" applyFill="1" applyBorder="1" applyAlignment="1">
      <alignment horizontal="left" vertical="center"/>
    </xf>
    <xf numFmtId="0" fontId="10" fillId="13" borderId="8" xfId="0" applyFont="1" applyFill="1" applyBorder="1" applyAlignment="1">
      <alignment horizontal="left" vertical="center"/>
    </xf>
    <xf numFmtId="0" fontId="43" fillId="11" borderId="5" xfId="0" applyFont="1" applyFill="1" applyBorder="1" applyAlignment="1">
      <alignment horizontal="left" vertical="center" wrapText="1"/>
    </xf>
    <xf numFmtId="0" fontId="8" fillId="2" borderId="1" xfId="3" applyAlignment="1">
      <alignment horizontal="left" vertical="center" wrapText="1"/>
    </xf>
    <xf numFmtId="0" fontId="12" fillId="11" borderId="0" xfId="0" applyFont="1" applyFill="1" applyAlignment="1">
      <alignment horizontal="left" vertical="center" wrapText="1"/>
    </xf>
    <xf numFmtId="0" fontId="17" fillId="11" borderId="0" xfId="0" applyFont="1" applyFill="1" applyAlignment="1">
      <alignment horizontal="center" vertical="center" wrapText="1"/>
    </xf>
    <xf numFmtId="0" fontId="38" fillId="13" borderId="5" xfId="0" applyFont="1" applyFill="1" applyBorder="1" applyAlignment="1">
      <alignment horizontal="left" vertical="center"/>
    </xf>
    <xf numFmtId="0" fontId="38" fillId="13" borderId="8" xfId="0" applyFont="1" applyFill="1" applyBorder="1" applyAlignment="1">
      <alignment horizontal="left" vertical="center"/>
    </xf>
    <xf numFmtId="0" fontId="11" fillId="13" borderId="13" xfId="0" applyFont="1" applyFill="1" applyBorder="1" applyAlignment="1" applyProtection="1">
      <alignment horizontal="center" vertical="center"/>
      <protection hidden="1"/>
    </xf>
    <xf numFmtId="0" fontId="11" fillId="13" borderId="2" xfId="0" applyFont="1" applyFill="1" applyBorder="1" applyAlignment="1" applyProtection="1">
      <alignment horizontal="center" vertical="center"/>
      <protection hidden="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8" fillId="0" borderId="10" xfId="0" applyFont="1" applyBorder="1" applyAlignment="1">
      <alignment horizontal="center"/>
    </xf>
    <xf numFmtId="0" fontId="8" fillId="0" borderId="0" xfId="0" applyFont="1" applyAlignment="1">
      <alignment horizontal="center"/>
    </xf>
    <xf numFmtId="0" fontId="46" fillId="11" borderId="0" xfId="0" applyFont="1" applyFill="1" applyAlignment="1" applyProtection="1">
      <alignment horizontal="center" vertical="center"/>
      <protection hidden="1"/>
    </xf>
    <xf numFmtId="0" fontId="47" fillId="11" borderId="0" xfId="0" applyFont="1" applyFill="1" applyAlignment="1" applyProtection="1">
      <alignment horizontal="center" vertical="center"/>
      <protection hidden="1"/>
    </xf>
    <xf numFmtId="0" fontId="38" fillId="13" borderId="0" xfId="0" applyFont="1" applyFill="1" applyAlignment="1">
      <alignment horizontal="left" vertical="center"/>
    </xf>
    <xf numFmtId="0" fontId="17" fillId="11" borderId="0" xfId="0" applyFont="1" applyFill="1" applyAlignment="1" applyProtection="1">
      <alignment horizontal="center" vertical="center" wrapText="1"/>
      <protection hidden="1"/>
    </xf>
    <xf numFmtId="0" fontId="24" fillId="8" borderId="10"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11"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25" fillId="15" borderId="8"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11" fillId="13" borderId="13" xfId="0" applyFont="1" applyFill="1" applyBorder="1" applyAlignment="1">
      <alignment horizontal="left" vertical="center"/>
    </xf>
    <xf numFmtId="0" fontId="11" fillId="13" borderId="2" xfId="0" applyFont="1" applyFill="1" applyBorder="1" applyAlignment="1">
      <alignment horizontal="left" vertical="center"/>
    </xf>
    <xf numFmtId="0" fontId="67" fillId="16" borderId="4" xfId="0" applyFont="1" applyFill="1" applyBorder="1" applyAlignment="1">
      <alignment horizontal="center"/>
    </xf>
    <xf numFmtId="0" fontId="67" fillId="16" borderId="5" xfId="0" applyFont="1" applyFill="1" applyBorder="1" applyAlignment="1">
      <alignment horizontal="center"/>
    </xf>
    <xf numFmtId="0" fontId="67" fillId="16" borderId="6" xfId="0" applyFont="1" applyFill="1" applyBorder="1" applyAlignment="1">
      <alignment horizontal="center"/>
    </xf>
    <xf numFmtId="0" fontId="67" fillId="16" borderId="0" xfId="0" applyFont="1" applyFill="1" applyAlignment="1">
      <alignment horizontal="center"/>
    </xf>
    <xf numFmtId="0" fontId="63" fillId="6" borderId="13" xfId="0" applyFont="1" applyFill="1" applyBorder="1" applyAlignment="1">
      <alignment horizontal="left" vertical="center" wrapText="1"/>
    </xf>
    <xf numFmtId="0" fontId="63" fillId="6" borderId="14" xfId="0" applyFont="1" applyFill="1" applyBorder="1" applyAlignment="1">
      <alignment horizontal="left" vertical="center" wrapText="1"/>
    </xf>
    <xf numFmtId="0" fontId="63" fillId="6" borderId="2" xfId="0" applyFont="1" applyFill="1" applyBorder="1" applyAlignment="1">
      <alignment horizontal="left" vertical="center" wrapText="1"/>
    </xf>
    <xf numFmtId="0" fontId="67" fillId="6" borderId="0" xfId="0" applyFont="1" applyFill="1" applyAlignment="1">
      <alignment horizontal="center"/>
    </xf>
    <xf numFmtId="0" fontId="8" fillId="2" borderId="1" xfId="3" applyAlignment="1">
      <alignment horizontal="center" vertical="center" wrapText="1"/>
    </xf>
    <xf numFmtId="0" fontId="8" fillId="2" borderId="4" xfId="3" applyBorder="1" applyAlignment="1" applyProtection="1">
      <alignment horizontal="center" vertical="center" wrapText="1"/>
      <protection hidden="1"/>
    </xf>
    <xf numFmtId="0" fontId="8" fillId="2" borderId="5" xfId="3" applyBorder="1" applyAlignment="1" applyProtection="1">
      <alignment horizontal="center" vertical="center" wrapText="1"/>
      <protection hidden="1"/>
    </xf>
    <xf numFmtId="0" fontId="8" fillId="2" borderId="7" xfId="3" applyBorder="1" applyAlignment="1" applyProtection="1">
      <alignment horizontal="center" vertical="center" wrapText="1"/>
      <protection hidden="1"/>
    </xf>
    <xf numFmtId="0" fontId="8" fillId="2" borderId="8" xfId="3" applyBorder="1" applyAlignment="1" applyProtection="1">
      <alignment horizontal="center" vertical="center" wrapText="1"/>
      <protection hidden="1"/>
    </xf>
    <xf numFmtId="0" fontId="12" fillId="2" borderId="4" xfId="3" applyFont="1" applyBorder="1" applyAlignment="1">
      <alignment horizontal="center" vertical="center" wrapText="1"/>
    </xf>
    <xf numFmtId="0" fontId="12" fillId="2" borderId="5" xfId="3" applyFont="1" applyBorder="1" applyAlignment="1">
      <alignment horizontal="center" vertical="center" wrapText="1"/>
    </xf>
    <xf numFmtId="0" fontId="12" fillId="2" borderId="6" xfId="3" applyFont="1" applyBorder="1" applyAlignment="1">
      <alignment horizontal="center" vertical="center" wrapText="1"/>
    </xf>
    <xf numFmtId="0" fontId="8" fillId="2" borderId="9" xfId="3" applyBorder="1" applyAlignment="1" applyProtection="1">
      <alignment horizontal="center" vertical="center" wrapText="1"/>
      <protection hidden="1"/>
    </xf>
    <xf numFmtId="0" fontId="43" fillId="2" borderId="4" xfId="3" applyFont="1" applyBorder="1" applyAlignment="1" applyProtection="1">
      <alignment horizontal="center" vertical="center" wrapText="1"/>
      <protection hidden="1"/>
    </xf>
    <xf numFmtId="0" fontId="43" fillId="2" borderId="5" xfId="3" applyFont="1" applyBorder="1" applyAlignment="1" applyProtection="1">
      <alignment horizontal="center" vertical="center" wrapText="1"/>
      <protection hidden="1"/>
    </xf>
    <xf numFmtId="0" fontId="43" fillId="2" borderId="6" xfId="3" applyFont="1" applyBorder="1" applyAlignment="1" applyProtection="1">
      <alignment horizontal="center" vertical="center" wrapText="1"/>
      <protection hidden="1"/>
    </xf>
    <xf numFmtId="0" fontId="43" fillId="2" borderId="10" xfId="3" applyFont="1" applyBorder="1" applyAlignment="1" applyProtection="1">
      <alignment horizontal="center" vertical="center" wrapText="1"/>
      <protection hidden="1"/>
    </xf>
    <xf numFmtId="0" fontId="43" fillId="2" borderId="0" xfId="3" applyFont="1" applyBorder="1" applyAlignment="1" applyProtection="1">
      <alignment horizontal="center" vertical="center" wrapText="1"/>
      <protection hidden="1"/>
    </xf>
    <xf numFmtId="0" fontId="43" fillId="2" borderId="11" xfId="3" applyFont="1" applyBorder="1" applyAlignment="1" applyProtection="1">
      <alignment horizontal="center" vertical="center" wrapText="1"/>
      <protection hidden="1"/>
    </xf>
    <xf numFmtId="0" fontId="43" fillId="2" borderId="7" xfId="3" applyFont="1" applyBorder="1" applyAlignment="1" applyProtection="1">
      <alignment horizontal="center" vertical="center" wrapText="1"/>
      <protection hidden="1"/>
    </xf>
    <xf numFmtId="0" fontId="43" fillId="2" borderId="8" xfId="3" applyFont="1" applyBorder="1" applyAlignment="1" applyProtection="1">
      <alignment horizontal="center" vertical="center" wrapText="1"/>
      <protection hidden="1"/>
    </xf>
    <xf numFmtId="0" fontId="43" fillId="2" borderId="9" xfId="3" applyFont="1" applyBorder="1" applyAlignment="1" applyProtection="1">
      <alignment horizontal="center" vertical="center" wrapText="1"/>
      <protection hidden="1"/>
    </xf>
    <xf numFmtId="0" fontId="8" fillId="2" borderId="13" xfId="3" applyBorder="1" applyAlignment="1" applyProtection="1">
      <alignment horizontal="center" vertical="center" wrapText="1"/>
      <protection hidden="1"/>
    </xf>
    <xf numFmtId="0" fontId="8" fillId="2" borderId="14" xfId="3" applyBorder="1" applyAlignment="1" applyProtection="1">
      <alignment horizontal="center" vertical="center" wrapText="1"/>
      <protection hidden="1"/>
    </xf>
    <xf numFmtId="0" fontId="8" fillId="2" borderId="2" xfId="3" applyBorder="1" applyAlignment="1" applyProtection="1">
      <alignment horizontal="center" vertical="center" wrapText="1"/>
      <protection hidden="1"/>
    </xf>
    <xf numFmtId="0" fontId="8" fillId="2" borderId="1" xfId="3" applyAlignment="1" applyProtection="1">
      <alignment horizontal="center" vertical="center" wrapText="1"/>
      <protection hidden="1"/>
    </xf>
  </cellXfs>
  <cellStyles count="5">
    <cellStyle name="Hyperlinkki" xfId="4" builtinId="8"/>
    <cellStyle name="Information" xfId="3" xr:uid="{E1214D2D-B68B-4D1A-9470-BAB86091FFE9}"/>
    <cellStyle name="Neutraali" xfId="1" builtinId="28"/>
    <cellStyle name="Normaali" xfId="0" builtinId="0"/>
    <cellStyle name="Prosenttia" xfId="2" builtinId="5"/>
  </cellStyles>
  <dxfs count="223">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Tahoma"/>
        <family val="2"/>
        <scheme val="none"/>
      </font>
      <fill>
        <patternFill patternType="solid">
          <fgColor indexed="64"/>
          <bgColor theme="0"/>
        </patternFill>
      </fill>
      <alignment vertical="bottom" textRotation="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Tahoma"/>
        <family val="2"/>
        <scheme val="none"/>
      </font>
      <numFmt numFmtId="0" formatCode="General"/>
      <fill>
        <patternFill patternType="solid">
          <fgColor indexed="64"/>
          <bgColor theme="0"/>
        </patternFill>
      </fill>
      <alignment vertical="bottom" textRotation="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Tahoma"/>
        <family val="2"/>
        <scheme val="none"/>
      </font>
      <fill>
        <patternFill patternType="solid">
          <fgColor indexed="64"/>
          <bgColor theme="0"/>
        </patternFill>
      </fill>
      <alignment vertical="bottom" textRotation="0" indent="0" justifyLastLine="0" shrinkToFit="0" readingOrder="0"/>
      <border diagonalUp="0" diagonalDown="0" outline="0">
        <left/>
        <right/>
        <top style="thin">
          <color theme="4"/>
        </top>
        <bottom/>
      </border>
    </dxf>
    <dxf>
      <border outline="0">
        <top style="thin">
          <color theme="4"/>
        </top>
      </border>
    </dxf>
    <dxf>
      <border outline="0">
        <bottom style="thin">
          <color indexed="64"/>
        </bottom>
      </border>
    </dxf>
    <dxf>
      <border outline="0">
        <left style="thin">
          <color theme="4"/>
        </left>
        <top style="thin">
          <color theme="4"/>
        </top>
        <bottom style="thin">
          <color indexed="64"/>
        </bottom>
      </border>
    </dxf>
    <dxf>
      <font>
        <b val="0"/>
        <i val="0"/>
        <strike val="0"/>
        <condense val="0"/>
        <extend val="0"/>
        <outline val="0"/>
        <shadow val="0"/>
        <u val="none"/>
        <vertAlign val="baseline"/>
        <sz val="11"/>
        <color theme="1"/>
        <name val="Tahoma"/>
        <family val="2"/>
        <scheme val="none"/>
      </font>
      <fill>
        <patternFill patternType="solid">
          <fgColor indexed="64"/>
          <bgColor theme="0"/>
        </patternFill>
      </fill>
      <alignment vertical="bottom" textRotation="0" indent="0" justifyLastLine="0" shrinkToFit="0" readingOrder="0"/>
    </dxf>
    <dxf>
      <font>
        <b/>
        <i val="0"/>
        <strike val="0"/>
        <condense val="0"/>
        <extend val="0"/>
        <outline val="0"/>
        <shadow val="0"/>
        <u val="none"/>
        <vertAlign val="baseline"/>
        <sz val="11"/>
        <color theme="0"/>
        <name val="Tahoma"/>
        <family val="2"/>
        <scheme val="none"/>
      </font>
      <fill>
        <patternFill patternType="solid">
          <fgColor theme="4"/>
          <bgColor theme="4"/>
        </patternFill>
      </fill>
      <alignment vertical="bottom" textRotation="0" indent="0" justifyLastLine="0" shrinkToFit="0" readingOrder="0"/>
    </dxf>
    <dxf>
      <font>
        <b val="0"/>
        <i val="0"/>
        <strike val="0"/>
        <condense val="0"/>
        <extend val="0"/>
        <outline val="0"/>
        <shadow val="0"/>
        <u val="none"/>
        <vertAlign val="baseline"/>
        <sz val="8"/>
        <color theme="1"/>
        <name val="Tahom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theme="1"/>
        <name val="Tahoma"/>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protection locked="1" hidden="0"/>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bottom style="thin">
          <color indexed="64"/>
        </bottom>
      </border>
    </dxf>
    <dxf>
      <border outline="0">
        <bottom style="thin">
          <color indexed="64"/>
        </bottom>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ahoma"/>
        <family val="2"/>
        <scheme val="none"/>
      </font>
      <fill>
        <patternFill patternType="solid">
          <fgColor indexed="64"/>
          <bgColor theme="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Tahoma"/>
        <family val="2"/>
        <scheme val="none"/>
      </font>
      <fill>
        <patternFill patternType="solid">
          <fgColor indexed="64"/>
          <bgColor theme="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Tahoma"/>
        <family val="2"/>
        <scheme val="none"/>
      </font>
      <fill>
        <patternFill patternType="solid">
          <fgColor indexed="64"/>
          <bgColor theme="0"/>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theme="1"/>
        <name val="Tahoma"/>
        <family val="2"/>
        <scheme val="none"/>
      </font>
      <fill>
        <patternFill patternType="solid">
          <fgColor indexed="64"/>
          <bgColor theme="0"/>
        </patternFill>
      </fill>
      <alignment horizontal="left"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alignment vertical="center" textRotation="0" indent="0" justifyLastLine="0" shrinkToFit="0" readingOrder="0"/>
      <protection locked="1" hidden="0"/>
    </dxf>
    <dxf>
      <font>
        <b/>
        <i val="0"/>
        <strike val="0"/>
        <condense val="0"/>
        <extend val="0"/>
        <outline val="0"/>
        <shadow val="0"/>
        <u val="none"/>
        <vertAlign val="baseline"/>
        <sz val="10"/>
        <color theme="0"/>
        <name val="Tahoma"/>
        <family val="2"/>
        <scheme val="none"/>
      </font>
      <fill>
        <patternFill patternType="solid">
          <fgColor indexed="64"/>
          <bgColor theme="8" tint="-0.249977111117893"/>
        </patternFill>
      </fill>
      <alignment horizontal="center" vertical="center" textRotation="0" wrapText="0" indent="0" justifyLastLine="0" shrinkToFit="0" readingOrder="0"/>
      <protection locked="1" hidden="0"/>
    </dxf>
    <dxf>
      <font>
        <color rgb="FFC00000"/>
      </font>
      <fill>
        <patternFill>
          <bgColor rgb="FFFFA3A3"/>
        </patternFill>
      </fill>
    </dxf>
    <dxf>
      <font>
        <color theme="9" tint="-0.499984740745262"/>
      </font>
      <fill>
        <patternFill>
          <bgColor theme="9" tint="0.79998168889431442"/>
        </patternFill>
      </fill>
    </dxf>
    <dxf>
      <numFmt numFmtId="0" formatCode="General"/>
      <alignment horizontal="center" vertical="center" textRotation="0" indent="0" justifyLastLine="0" shrinkToFit="0" readingOrder="0"/>
    </dxf>
    <dxf>
      <numFmt numFmtId="0" formatCode="General"/>
      <alignment horizontal="center"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theme="8" tint="-0.499984740745262"/>
        </top>
        <bottom style="thin">
          <color theme="8" tint="-0.499984740745262"/>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67" formatCode="0.0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Tahoma"/>
        <family val="2"/>
        <scheme val="none"/>
      </font>
      <numFmt numFmtId="16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0.0000"/>
      <fill>
        <patternFill patternType="solid">
          <fgColor indexed="64"/>
          <bgColor theme="4" tint="0.79998168889431442"/>
        </patternFill>
      </fill>
      <alignment vertical="center" textRotation="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font>
        <b/>
        <i val="0"/>
        <strike val="0"/>
        <condense val="0"/>
        <extend val="0"/>
        <outline val="0"/>
        <shadow val="0"/>
        <u val="none"/>
        <vertAlign val="baseline"/>
        <sz val="10"/>
        <color theme="0"/>
        <name val="Tahoma"/>
        <family val="2"/>
        <scheme val="none"/>
      </font>
      <fill>
        <patternFill patternType="solid">
          <fgColor indexed="64"/>
          <bgColor theme="8"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Tahoma"/>
        <family val="2"/>
        <scheme val="none"/>
      </font>
      <numFmt numFmtId="17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70" formatCode="0.0E+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7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65" formatCode="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70" formatCode="0.0E+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2" formatCode="0.00"/>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2" formatCode="0.0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3" formatCode="0\ %"/>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66" formatCode="0.00000"/>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vertical="bottom" textRotation="0" indent="0" justifyLastLine="0" shrinkToFit="0" readingOrder="0"/>
    </dxf>
    <dxf>
      <font>
        <b/>
        <i val="0"/>
        <strike val="0"/>
        <condense val="0"/>
        <extend val="0"/>
        <outline val="0"/>
        <shadow val="0"/>
        <u val="none"/>
        <vertAlign val="baseline"/>
        <sz val="10"/>
        <color theme="0"/>
        <name val="Tahoma"/>
        <family val="2"/>
        <scheme val="none"/>
      </font>
      <fill>
        <patternFill patternType="solid">
          <fgColor indexed="64"/>
          <bgColor theme="8" tint="-0.249977111117893"/>
        </patternFill>
      </fill>
      <alignment horizontal="center" vertical="bottom" textRotation="0" wrapText="1" indent="0" justifyLastLine="0" shrinkToFit="0" readingOrder="0"/>
    </dxf>
    <dxf>
      <font>
        <color theme="0" tint="-0.499984740745262"/>
      </font>
      <fill>
        <patternFill patternType="lightUp">
          <fgColor theme="0" tint="-0.34998626667073579"/>
          <bgColor theme="0"/>
        </patternFill>
      </fill>
    </dxf>
    <dxf>
      <fill>
        <patternFill patternType="lightUp">
          <fgColor theme="0" tint="-0.34998626667073579"/>
        </patternFill>
      </fill>
    </dxf>
    <dxf>
      <fill>
        <patternFill patternType="lightUp">
          <fgColor theme="0" tint="-0.34998626667073579"/>
        </patternFill>
      </fill>
    </dxf>
    <dxf>
      <font>
        <color theme="0" tint="-0.499984740745262"/>
      </font>
      <fill>
        <patternFill patternType="lightUp">
          <fgColor theme="0" tint="-0.34998626667073579"/>
        </patternFill>
      </fill>
    </dxf>
    <dxf>
      <fill>
        <patternFill>
          <bgColor rgb="FFFFC5C5"/>
        </patternFill>
      </fill>
    </dxf>
    <dxf>
      <fill>
        <patternFill>
          <bgColor rgb="FFFFC5C5"/>
        </patternFill>
      </fill>
    </dxf>
    <dxf>
      <font>
        <color theme="0" tint="-0.499984740745262"/>
      </font>
      <fill>
        <patternFill patternType="lightUp">
          <fgColor theme="0" tint="-0.34998626667073579"/>
        </patternFill>
      </fill>
    </dxf>
    <dxf>
      <font>
        <strike val="0"/>
        <outline val="0"/>
        <shadow val="0"/>
        <u val="none"/>
        <sz val="9"/>
        <name val="Arial"/>
        <family val="2"/>
        <scheme val="none"/>
      </font>
      <fill>
        <patternFill patternType="solid">
          <fgColor indexed="64"/>
          <bgColor theme="6" tint="0.79998168889431442"/>
        </patternFill>
      </fill>
      <alignment horizontal="center" vertical="center" textRotation="0" wrapText="0" indent="0" justifyLastLine="0" shrinkToFit="0" readingOrder="0"/>
    </dxf>
    <dxf>
      <font>
        <strike val="0"/>
        <outline val="0"/>
        <shadow val="0"/>
        <u val="none"/>
        <name val="Arial"/>
        <family val="2"/>
        <scheme val="none"/>
      </font>
      <fill>
        <patternFill patternType="solid">
          <fgColor indexed="64"/>
          <bgColor theme="6" tint="0.79998168889431442"/>
        </patternFill>
      </fill>
    </dxf>
    <dxf>
      <font>
        <strike val="0"/>
        <outline val="0"/>
        <shadow val="0"/>
        <u val="none"/>
        <name val="Arial"/>
        <family val="2"/>
        <scheme val="none"/>
      </font>
      <fill>
        <patternFill patternType="solid">
          <fgColor indexed="64"/>
          <bgColor theme="6" tint="0.79998168889431442"/>
        </patternFill>
      </fill>
    </dxf>
    <dxf>
      <font>
        <strike val="0"/>
        <outline val="0"/>
        <shadow val="0"/>
        <u val="none"/>
        <name val="Arial"/>
        <family val="2"/>
        <scheme val="none"/>
      </font>
      <fill>
        <patternFill patternType="solid">
          <fgColor indexed="64"/>
          <bgColor theme="6" tint="0.79998168889431442"/>
        </patternFill>
      </fill>
    </dxf>
    <dxf>
      <font>
        <strike val="0"/>
        <outline val="0"/>
        <shadow val="0"/>
        <u val="none"/>
        <vertAlign val="baseline"/>
        <sz val="9"/>
        <color auto="1"/>
        <name val="Arial"/>
        <family val="2"/>
        <scheme val="none"/>
      </font>
      <numFmt numFmtId="0" formatCode="General"/>
      <fill>
        <patternFill patternType="solid">
          <fgColor indexed="64"/>
          <bgColor theme="6" tint="0.79998168889431442"/>
        </patternFill>
      </fill>
      <alignment horizontal="left" vertical="center" textRotation="0" wrapText="0" indent="0" justifyLastLine="0" shrinkToFit="0" readingOrder="0"/>
      <protection locked="1" hidden="1"/>
    </dxf>
    <dxf>
      <font>
        <strike val="0"/>
        <outline val="0"/>
        <shadow val="0"/>
        <u val="none"/>
        <name val="Arial"/>
        <family val="2"/>
        <scheme val="none"/>
      </font>
      <fill>
        <patternFill patternType="solid">
          <fgColor indexed="64"/>
          <bgColor theme="6" tint="0.79998168889431442"/>
        </patternFill>
      </fill>
    </dxf>
    <dxf>
      <font>
        <strike val="0"/>
        <outline val="0"/>
        <shadow val="0"/>
        <u val="none"/>
        <vertAlign val="baseline"/>
        <sz val="9"/>
        <color theme="0"/>
        <name val="Arial"/>
        <family val="2"/>
        <scheme val="none"/>
      </font>
      <fill>
        <patternFill patternType="solid">
          <fgColor indexed="64"/>
          <bgColor theme="8" tint="-0.249977111117893"/>
        </patternFill>
      </fill>
    </dxf>
    <dxf>
      <font>
        <color theme="1"/>
      </font>
      <fill>
        <patternFill>
          <bgColor theme="6" tint="0.79998168889431442"/>
        </patternFill>
      </fill>
      <border>
        <left style="thin">
          <color auto="1"/>
        </left>
        <right style="thin">
          <color auto="1"/>
        </right>
        <top style="thin">
          <color auto="1"/>
        </top>
        <bottom style="thin">
          <color auto="1"/>
        </bottom>
        <vertical/>
        <horizontal/>
      </border>
    </dxf>
    <dxf>
      <font>
        <color theme="1"/>
      </font>
      <fill>
        <patternFill>
          <bgColor theme="6" tint="0.79998168889431442"/>
        </patternFill>
      </fill>
      <border>
        <left style="thin">
          <color auto="1"/>
        </left>
        <right style="thin">
          <color auto="1"/>
        </right>
        <top style="thin">
          <color auto="1"/>
        </top>
        <bottom style="thin">
          <color auto="1"/>
        </bottom>
        <vertical/>
        <horizontal/>
      </border>
    </dxf>
    <dxf>
      <font>
        <color theme="1"/>
      </font>
      <fill>
        <patternFill>
          <bgColor theme="6" tint="0.79998168889431442"/>
        </patternFill>
      </fill>
      <border>
        <left style="thin">
          <color auto="1"/>
        </left>
        <right style="thin">
          <color auto="1"/>
        </right>
        <top style="thin">
          <color auto="1"/>
        </top>
        <bottom style="thin">
          <color auto="1"/>
        </bottom>
        <vertical/>
        <horizontal/>
      </border>
    </dxf>
    <dxf>
      <font>
        <color theme="1"/>
      </font>
      <fill>
        <patternFill>
          <bgColor theme="6" tint="0.79998168889431442"/>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border>
    </dxf>
    <dxf>
      <font>
        <color theme="1"/>
      </font>
      <fill>
        <patternFill>
          <bgColor theme="6" tint="0.79998168889431442"/>
        </patternFill>
      </fill>
      <border>
        <left style="thin">
          <color auto="1"/>
        </left>
        <right style="thin">
          <color auto="1"/>
        </right>
        <top style="thin">
          <color auto="1"/>
        </top>
        <bottom style="thin">
          <color auto="1"/>
        </bottom>
        <vertical/>
        <horizontal/>
      </border>
    </dxf>
    <dxf>
      <fill>
        <patternFill patternType="lightUp">
          <fgColor theme="0" tint="-0.24994659260841701"/>
        </patternFill>
      </fill>
    </dxf>
    <dxf>
      <font>
        <b/>
        <i val="0"/>
        <color theme="0"/>
      </font>
      <fill>
        <patternFill>
          <bgColor theme="8" tint="-0.24994659260841701"/>
        </patternFill>
      </fill>
      <border>
        <left style="thin">
          <color auto="1"/>
        </left>
        <right style="thin">
          <color auto="1"/>
        </right>
        <top style="thin">
          <color auto="1"/>
        </top>
        <vertical/>
        <horizontal/>
      </border>
    </dxf>
    <dxf>
      <font>
        <color theme="0" tint="-0.499984740745262"/>
      </font>
      <fill>
        <patternFill patternType="lightUp">
          <fgColor theme="0" tint="-0.34998626667073579"/>
        </patternFill>
      </fill>
    </dxf>
    <dxf>
      <font>
        <color rgb="FFB40000"/>
      </font>
      <fill>
        <patternFill>
          <bgColor rgb="FFFFE5E5"/>
        </patternFill>
      </fill>
    </dxf>
    <dxf>
      <font>
        <color theme="9" tint="-0.499984740745262"/>
      </font>
      <fill>
        <patternFill>
          <bgColor rgb="FFCEFABC"/>
        </patternFill>
      </fill>
    </dxf>
    <dxf>
      <font>
        <b/>
        <i val="0"/>
        <color theme="0"/>
      </font>
      <fill>
        <patternFill>
          <bgColor theme="8" tint="-0.24994659260841701"/>
        </patternFill>
      </fill>
      <border>
        <left style="thin">
          <color auto="1"/>
        </left>
        <right style="thin">
          <color auto="1"/>
        </right>
        <top style="thin">
          <color auto="1"/>
        </top>
        <vertical/>
        <horizontal/>
      </border>
    </dxf>
    <dxf>
      <font>
        <b/>
        <i val="0"/>
        <color theme="0"/>
      </font>
      <fill>
        <patternFill>
          <bgColor theme="8" tint="-0.24994659260841701"/>
        </patternFill>
      </fill>
      <border>
        <left style="thin">
          <color auto="1"/>
        </left>
        <right style="thin">
          <color auto="1"/>
        </right>
        <top style="thin">
          <color auto="1"/>
        </top>
        <vertical/>
        <horizontal/>
      </border>
    </dxf>
    <dxf>
      <font>
        <b/>
        <i val="0"/>
        <color theme="0"/>
      </font>
      <fill>
        <patternFill>
          <bgColor theme="8" tint="-0.24994659260841701"/>
        </patternFill>
      </fill>
      <border>
        <left style="thin">
          <color auto="1"/>
        </left>
        <right style="thin">
          <color auto="1"/>
        </right>
        <top style="thin">
          <color auto="1"/>
        </top>
        <vertical/>
        <horizontal/>
      </border>
    </dxf>
    <dxf>
      <font>
        <b/>
        <i val="0"/>
        <color theme="0"/>
      </font>
      <fill>
        <patternFill>
          <bgColor theme="8" tint="-0.24994659260841701"/>
        </patternFill>
      </fill>
      <border>
        <left style="thin">
          <color auto="1"/>
        </left>
        <right style="thin">
          <color auto="1"/>
        </right>
        <top style="thin">
          <color auto="1"/>
        </top>
        <vertical/>
        <horizontal/>
      </border>
    </dxf>
    <dxf>
      <font>
        <color theme="4" tint="0.79998168889431442"/>
      </font>
      <fill>
        <patternFill>
          <bgColor theme="4" tint="0.79998168889431442"/>
        </patternFill>
      </fill>
      <border>
        <left/>
        <right/>
        <top/>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theme="0" tint="-0.499984740745262"/>
      </font>
      <fill>
        <patternFill patternType="lightUp">
          <fgColor theme="0" tint="-0.34998626667073579"/>
        </patternFill>
      </fill>
    </dxf>
    <dxf>
      <font>
        <b val="0"/>
        <i val="0"/>
        <color theme="0" tint="-0.499984740745262"/>
      </font>
      <fill>
        <patternFill patternType="lightUp">
          <fgColor theme="0" tint="-0.34998626667073579"/>
        </patternFill>
      </fill>
    </dxf>
    <dxf>
      <font>
        <color theme="0" tint="-0.499984740745262"/>
      </font>
      <fill>
        <patternFill patternType="lightUp">
          <fgColor theme="0" tint="-0.34998626667073579"/>
        </patternFill>
      </fill>
    </dxf>
    <dxf>
      <font>
        <color theme="0" tint="-0.499984740745262"/>
      </font>
      <fill>
        <patternFill patternType="lightUp">
          <fgColor theme="0" tint="-0.34998626667073579"/>
        </patternFill>
      </fill>
    </dxf>
    <dxf>
      <font>
        <color theme="0" tint="-0.499984740745262"/>
      </font>
      <fill>
        <patternFill patternType="lightUp">
          <fgColor theme="0" tint="-0.34998626667073579"/>
        </patternFill>
      </fill>
    </dxf>
    <dxf>
      <font>
        <color theme="1"/>
      </font>
    </dxf>
    <dxf>
      <font>
        <color rgb="FFB40000"/>
      </font>
      <fill>
        <patternFill>
          <bgColor rgb="FFFFE5E5"/>
        </patternFill>
      </fill>
    </dxf>
    <dxf>
      <font>
        <color theme="9" tint="-0.499984740745262"/>
      </font>
      <fill>
        <patternFill>
          <bgColor rgb="FFCEFABC"/>
        </patternFill>
      </fill>
    </dxf>
    <dxf>
      <font>
        <color rgb="FFB40000"/>
      </font>
      <fill>
        <patternFill>
          <bgColor rgb="FFFFB9B9"/>
        </patternFill>
      </fill>
    </dxf>
    <dxf>
      <font>
        <color theme="9" tint="-0.499984740745262"/>
      </font>
      <fill>
        <patternFill>
          <bgColor rgb="FFA9DA74"/>
        </patternFill>
      </fill>
    </dxf>
    <dxf>
      <font>
        <strike val="0"/>
        <outline val="0"/>
        <shadow val="0"/>
        <u val="none"/>
        <vertAlign val="baseline"/>
        <sz val="10"/>
        <color theme="4" tint="0.79998168889431442"/>
        <name val="Arial"/>
        <family val="2"/>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8"/>
        <color theme="1"/>
        <name val="Arial"/>
        <family val="2"/>
        <scheme val="none"/>
      </font>
      <numFmt numFmtId="164" formatCode="0.000"/>
      <fill>
        <patternFill patternType="solid">
          <fgColor indexed="64"/>
          <bgColor theme="6" tint="0.79998168889431442"/>
        </patternFill>
      </fill>
      <border diagonalUp="0" diagonalDown="0">
        <left style="thin">
          <color indexed="64"/>
        </left>
        <right/>
        <top style="thin">
          <color indexed="64"/>
        </top>
        <bottom style="thin">
          <color indexed="64"/>
        </bottom>
      </border>
      <protection locked="1" hidden="1"/>
    </dxf>
    <dxf>
      <font>
        <strike val="0"/>
        <outline val="0"/>
        <shadow val="0"/>
        <u val="none"/>
        <vertAlign val="baseline"/>
        <sz val="8"/>
        <color theme="1"/>
        <name val="Arial"/>
        <family val="2"/>
        <scheme val="none"/>
      </font>
      <numFmt numFmtId="2" formatCode="0.0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color theme="1"/>
        <name val="Arial"/>
        <family val="2"/>
        <scheme val="none"/>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Arial"/>
        <family val="2"/>
        <scheme val="none"/>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Arial"/>
        <family val="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Arial"/>
        <family val="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Arial"/>
        <family val="2"/>
        <scheme val="none"/>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dxf>
    <dxf>
      <font>
        <outline val="0"/>
        <shadow val="0"/>
        <sz val="10"/>
        <name val="Arial"/>
        <family val="2"/>
        <scheme val="none"/>
      </font>
    </dxf>
    <dxf>
      <font>
        <outline val="0"/>
        <shadow val="0"/>
        <sz val="10"/>
        <name val="Arial"/>
        <family val="2"/>
        <scheme val="none"/>
      </font>
    </dxf>
    <dxf>
      <font>
        <color theme="1"/>
      </font>
      <fill>
        <patternFill>
          <bgColor theme="6" tint="0.79998168889431442"/>
        </patternFill>
      </fill>
      <border>
        <left style="thin">
          <color auto="1"/>
        </left>
        <right style="thin">
          <color auto="1"/>
        </right>
        <top style="thin">
          <color auto="1"/>
        </top>
        <bottom style="thin">
          <color auto="1"/>
        </bottom>
        <vertical/>
        <horizontal/>
      </border>
    </dxf>
    <dxf>
      <font>
        <b/>
        <i val="0"/>
        <color theme="8" tint="-0.24994659260841701"/>
      </font>
      <fill>
        <patternFill>
          <bgColor theme="4" tint="0.79998168889431442"/>
        </patternFill>
      </fill>
      <border>
        <left/>
        <right/>
        <top/>
        <bottom style="thin">
          <color auto="1"/>
        </bottom>
        <vertical/>
        <horizontal/>
      </border>
    </dxf>
    <dxf>
      <font>
        <color auto="1"/>
      </font>
      <fill>
        <patternFill>
          <bgColor rgb="FFECEBE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0" tint="-0.499984740745262"/>
      </font>
      <fill>
        <patternFill patternType="lightUp">
          <fgColor theme="0" tint="-0.34998626667073579"/>
        </patternFill>
      </fill>
    </dxf>
    <dxf>
      <font>
        <color theme="0" tint="-0.34998626667073579"/>
      </font>
      <fill>
        <patternFill patternType="lightUp">
          <fgColor theme="0" tint="-0.24994659260841701"/>
        </patternFill>
      </fill>
    </dxf>
    <dxf>
      <font>
        <color theme="7" tint="-0.499984740745262"/>
      </font>
      <fill>
        <patternFill>
          <bgColor theme="7" tint="0.79998168889431442"/>
        </patternFill>
      </fill>
      <border>
        <left style="thin">
          <color theme="7" tint="-0.499984740745262"/>
        </left>
        <right style="thin">
          <color theme="7" tint="-0.499984740745262"/>
        </right>
        <top style="thin">
          <color theme="7" tint="-0.499984740745262"/>
        </top>
        <bottom style="thin">
          <color theme="7" tint="-0.499984740745262"/>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0" tint="-0.34998626667073579"/>
      </font>
      <fill>
        <patternFill patternType="lightUp">
          <fgColor theme="0" tint="-0.24994659260841701"/>
        </patternFill>
      </fill>
    </dxf>
    <dxf>
      <font>
        <color theme="0" tint="-0.499984740745262"/>
      </font>
      <fill>
        <patternFill patternType="lightUp">
          <fgColor theme="0" tint="-0.34998626667073579"/>
        </patternFill>
      </fill>
    </dxf>
    <dxf>
      <font>
        <color rgb="FF006100"/>
      </font>
      <fill>
        <patternFill>
          <bgColor rgb="FFADDB7B"/>
        </patternFill>
      </fill>
    </dxf>
    <dxf>
      <font>
        <color rgb="FFD00000"/>
      </font>
      <fill>
        <patternFill>
          <bgColor rgb="FFFFC5C5"/>
        </patternFill>
      </fill>
    </dxf>
    <dxf>
      <font>
        <strike val="0"/>
        <outline val="0"/>
        <shadow val="0"/>
        <u val="none"/>
        <sz val="9"/>
        <name val="Arial"/>
        <family val="2"/>
        <scheme val="none"/>
      </font>
      <fill>
        <patternFill patternType="solid">
          <fgColor indexed="64"/>
          <bgColor theme="6" tint="0.79998168889431442"/>
        </patternFill>
      </fill>
      <alignment horizontal="center" vertical="center" textRotation="0" wrapText="0" indent="0" justifyLastLine="0" shrinkToFit="0" readingOrder="0"/>
    </dxf>
    <dxf>
      <font>
        <strike val="0"/>
        <outline val="0"/>
        <shadow val="0"/>
        <u val="none"/>
        <name val="Arial"/>
        <family val="2"/>
        <scheme val="none"/>
      </font>
      <fill>
        <patternFill patternType="solid">
          <fgColor indexed="64"/>
          <bgColor theme="6" tint="0.79998168889431442"/>
        </patternFill>
      </fill>
    </dxf>
    <dxf>
      <font>
        <strike val="0"/>
        <outline val="0"/>
        <shadow val="0"/>
        <u val="none"/>
        <name val="Arial"/>
        <family val="2"/>
        <scheme val="none"/>
      </font>
      <fill>
        <patternFill patternType="solid">
          <fgColor indexed="64"/>
          <bgColor theme="6" tint="0.79998168889431442"/>
        </patternFill>
      </fill>
    </dxf>
    <dxf>
      <font>
        <strike val="0"/>
        <outline val="0"/>
        <shadow val="0"/>
        <u val="none"/>
        <name val="Arial"/>
        <family val="2"/>
        <scheme val="none"/>
      </font>
      <fill>
        <patternFill patternType="solid">
          <fgColor indexed="64"/>
          <bgColor theme="6" tint="0.79998168889431442"/>
        </patternFill>
      </fill>
    </dxf>
    <dxf>
      <font>
        <strike val="0"/>
        <outline val="0"/>
        <shadow val="0"/>
        <u val="none"/>
        <vertAlign val="baseline"/>
        <sz val="9"/>
        <color auto="1"/>
        <name val="Arial"/>
        <family val="2"/>
        <scheme val="none"/>
      </font>
      <numFmt numFmtId="0" formatCode="General"/>
      <fill>
        <patternFill patternType="solid">
          <fgColor indexed="64"/>
          <bgColor theme="6" tint="0.79998168889431442"/>
        </patternFill>
      </fill>
      <alignment horizontal="left" vertical="center" textRotation="0" wrapText="0" indent="0" justifyLastLine="0" shrinkToFit="0" readingOrder="0"/>
      <protection locked="1" hidden="1"/>
    </dxf>
    <dxf>
      <font>
        <strike val="0"/>
        <outline val="0"/>
        <shadow val="0"/>
        <u val="none"/>
        <name val="Arial"/>
        <family val="2"/>
        <scheme val="none"/>
      </font>
      <fill>
        <patternFill patternType="solid">
          <fgColor indexed="64"/>
          <bgColor theme="6" tint="0.79998168889431442"/>
        </patternFill>
      </fill>
    </dxf>
    <dxf>
      <font>
        <strike val="0"/>
        <outline val="0"/>
        <shadow val="0"/>
        <u val="none"/>
        <vertAlign val="baseline"/>
        <sz val="9"/>
        <color theme="0"/>
        <name val="Arial"/>
        <family val="2"/>
        <scheme val="none"/>
      </font>
      <fill>
        <patternFill patternType="solid">
          <fgColor indexed="64"/>
          <bgColor theme="8" tint="-0.249977111117893"/>
        </patternFill>
      </fill>
    </dxf>
    <dxf>
      <font>
        <color theme="1"/>
      </font>
      <fill>
        <patternFill>
          <bgColor theme="6" tint="0.79998168889431442"/>
        </patternFill>
      </fill>
      <border>
        <left style="thin">
          <color auto="1"/>
        </left>
        <right style="thin">
          <color auto="1"/>
        </right>
        <top style="thin">
          <color auto="1"/>
        </top>
        <bottom style="thin">
          <color auto="1"/>
        </bottom>
        <vertical/>
        <horizontal/>
      </border>
    </dxf>
    <dxf>
      <font>
        <color theme="1"/>
      </font>
      <fill>
        <patternFill>
          <bgColor theme="6" tint="0.79998168889431442"/>
        </patternFill>
      </fill>
      <border>
        <left style="thin">
          <color auto="1"/>
        </left>
        <right style="thin">
          <color auto="1"/>
        </right>
        <top style="thin">
          <color auto="1"/>
        </top>
        <bottom style="thin">
          <color auto="1"/>
        </bottom>
        <vertical/>
        <horizontal/>
      </border>
    </dxf>
    <dxf>
      <font>
        <color theme="1"/>
      </font>
      <fill>
        <patternFill>
          <bgColor theme="6" tint="0.79998168889431442"/>
        </patternFill>
      </fill>
      <border>
        <left style="thin">
          <color auto="1"/>
        </left>
        <right style="thin">
          <color auto="1"/>
        </right>
        <top style="thin">
          <color auto="1"/>
        </top>
        <bottom style="thin">
          <color auto="1"/>
        </bottom>
        <vertical/>
        <horizontal/>
      </border>
    </dxf>
    <dxf>
      <font>
        <color theme="1"/>
      </font>
      <fill>
        <patternFill>
          <bgColor theme="6" tint="0.79998168889431442"/>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border>
    </dxf>
    <dxf>
      <font>
        <color theme="1"/>
      </font>
      <fill>
        <patternFill>
          <bgColor theme="6" tint="0.79998168889431442"/>
        </patternFill>
      </fill>
      <border>
        <left style="thin">
          <color auto="1"/>
        </left>
        <right style="thin">
          <color auto="1"/>
        </right>
        <top style="thin">
          <color auto="1"/>
        </top>
        <bottom style="thin">
          <color auto="1"/>
        </bottom>
        <vertical/>
        <horizontal/>
      </border>
    </dxf>
    <dxf>
      <fill>
        <patternFill patternType="lightUp">
          <fgColor theme="0" tint="-0.24994659260841701"/>
        </patternFill>
      </fill>
    </dxf>
    <dxf>
      <font>
        <b/>
        <i val="0"/>
        <color theme="0"/>
      </font>
      <fill>
        <patternFill>
          <bgColor theme="8" tint="-0.24994659260841701"/>
        </patternFill>
      </fill>
      <border>
        <left style="thin">
          <color auto="1"/>
        </left>
        <right style="thin">
          <color auto="1"/>
        </right>
        <top style="thin">
          <color auto="1"/>
        </top>
        <vertical/>
        <horizontal/>
      </border>
    </dxf>
    <dxf>
      <font>
        <b/>
        <i val="0"/>
        <color theme="0"/>
      </font>
      <fill>
        <patternFill>
          <bgColor theme="8" tint="-0.24994659260841701"/>
        </patternFill>
      </fill>
      <border>
        <left style="thin">
          <color auto="1"/>
        </left>
        <right style="thin">
          <color auto="1"/>
        </right>
        <top style="thin">
          <color auto="1"/>
        </top>
        <vertical/>
        <horizontal/>
      </border>
    </dxf>
    <dxf>
      <font>
        <b/>
        <i val="0"/>
        <color theme="0"/>
      </font>
      <fill>
        <patternFill>
          <bgColor theme="8" tint="-0.24994659260841701"/>
        </patternFill>
      </fill>
      <border>
        <left style="thin">
          <color auto="1"/>
        </left>
        <right style="thin">
          <color auto="1"/>
        </right>
        <top style="thin">
          <color auto="1"/>
        </top>
        <vertical/>
        <horizontal/>
      </border>
    </dxf>
    <dxf>
      <font>
        <b/>
        <i val="0"/>
        <color theme="0"/>
      </font>
      <fill>
        <patternFill>
          <bgColor theme="8" tint="-0.24994659260841701"/>
        </patternFill>
      </fill>
      <border>
        <left style="thin">
          <color auto="1"/>
        </left>
        <right style="thin">
          <color auto="1"/>
        </right>
        <top style="thin">
          <color auto="1"/>
        </top>
        <vertical/>
        <horizontal/>
      </border>
    </dxf>
    <dxf>
      <font>
        <b/>
        <i val="0"/>
        <color theme="0"/>
      </font>
      <fill>
        <patternFill>
          <bgColor theme="8" tint="-0.24994659260841701"/>
        </patternFill>
      </fill>
      <border>
        <left style="thin">
          <color auto="1"/>
        </left>
        <right style="thin">
          <color auto="1"/>
        </right>
        <top style="thin">
          <color auto="1"/>
        </top>
        <vertical/>
        <horizontal/>
      </border>
    </dxf>
    <dxf>
      <font>
        <color theme="4" tint="0.79998168889431442"/>
      </font>
      <fill>
        <patternFill>
          <bgColor theme="4" tint="0.79998168889431442"/>
        </patternFill>
      </fill>
      <border>
        <left/>
        <right/>
        <top/>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theme="0" tint="-0.499984740745262"/>
      </font>
      <fill>
        <patternFill patternType="lightUp">
          <fgColor theme="0" tint="-0.34998626667073579"/>
        </patternFill>
      </fill>
    </dxf>
    <dxf>
      <font>
        <color theme="0" tint="-0.499984740745262"/>
      </font>
      <fill>
        <patternFill patternType="lightUp">
          <fgColor theme="0" tint="-0.34998626667073579"/>
        </patternFill>
      </fill>
    </dxf>
    <dxf>
      <font>
        <b val="0"/>
        <i val="0"/>
        <color theme="0" tint="-0.499984740745262"/>
      </font>
      <fill>
        <patternFill patternType="lightUp">
          <fgColor theme="0" tint="-0.34998626667073579"/>
        </patternFill>
      </fill>
    </dxf>
    <dxf>
      <font>
        <color theme="0" tint="-0.499984740745262"/>
      </font>
      <fill>
        <patternFill patternType="lightUp">
          <fgColor theme="0" tint="-0.34998626667073579"/>
        </patternFill>
      </fill>
    </dxf>
    <dxf>
      <font>
        <color theme="0" tint="-0.499984740745262"/>
      </font>
      <fill>
        <patternFill patternType="lightUp">
          <fgColor theme="0" tint="-0.34998626667073579"/>
        </patternFill>
      </fill>
    </dxf>
    <dxf>
      <font>
        <color theme="0" tint="-0.499984740745262"/>
      </font>
      <fill>
        <patternFill patternType="lightUp">
          <fgColor theme="0" tint="-0.34998626667073579"/>
        </patternFill>
      </fill>
    </dxf>
    <dxf>
      <font>
        <color theme="1"/>
      </font>
    </dxf>
    <dxf>
      <font>
        <color rgb="FFB40000"/>
      </font>
      <fill>
        <patternFill>
          <bgColor rgb="FFFFE5E5"/>
        </patternFill>
      </fill>
    </dxf>
    <dxf>
      <font>
        <color theme="9" tint="-0.499984740745262"/>
      </font>
      <fill>
        <patternFill>
          <bgColor rgb="FFCEFABC"/>
        </patternFill>
      </fill>
    </dxf>
    <dxf>
      <font>
        <color rgb="FFB40000"/>
      </font>
      <fill>
        <patternFill>
          <bgColor rgb="FFFFB9B9"/>
        </patternFill>
      </fill>
    </dxf>
    <dxf>
      <font>
        <color theme="9" tint="-0.499984740745262"/>
      </font>
      <fill>
        <patternFill>
          <bgColor rgb="FFA9DA74"/>
        </patternFill>
      </fill>
    </dxf>
    <dxf>
      <font>
        <strike val="0"/>
        <outline val="0"/>
        <shadow val="0"/>
        <u val="none"/>
        <vertAlign val="baseline"/>
        <sz val="10"/>
        <color theme="4" tint="0.79998168889431442"/>
        <name val="Arial"/>
        <family val="2"/>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protection locked="1" hidden="1"/>
    </dxf>
    <dxf>
      <font>
        <strike val="0"/>
        <outline val="0"/>
        <shadow val="0"/>
        <u val="none"/>
        <vertAlign val="baseline"/>
        <sz val="8"/>
        <color theme="1"/>
        <name val="Arial"/>
        <family val="2"/>
        <scheme val="none"/>
      </font>
      <numFmt numFmtId="164" formatCode="0.000"/>
      <fill>
        <patternFill patternType="solid">
          <fgColor indexed="64"/>
          <bgColor theme="6" tint="0.79998168889431442"/>
        </patternFill>
      </fill>
      <border diagonalUp="0" diagonalDown="0">
        <left style="thin">
          <color indexed="64"/>
        </left>
        <right/>
        <top style="thin">
          <color indexed="64"/>
        </top>
        <bottom style="thin">
          <color indexed="64"/>
        </bottom>
      </border>
      <protection locked="1" hidden="1"/>
    </dxf>
    <dxf>
      <font>
        <strike val="0"/>
        <outline val="0"/>
        <shadow val="0"/>
        <u val="none"/>
        <vertAlign val="baseline"/>
        <sz val="8"/>
        <color theme="1"/>
        <name val="Arial"/>
        <family val="2"/>
        <scheme val="none"/>
      </font>
      <numFmt numFmtId="2" formatCode="0.0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color theme="1"/>
        <name val="Arial"/>
        <family val="2"/>
        <scheme val="none"/>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Arial"/>
        <family val="2"/>
        <scheme val="none"/>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Arial"/>
        <family val="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Arial"/>
        <family val="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Arial"/>
        <family val="2"/>
        <scheme val="none"/>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dxf>
    <dxf>
      <font>
        <outline val="0"/>
        <shadow val="0"/>
        <sz val="10"/>
        <name val="Arial"/>
        <family val="2"/>
        <scheme val="none"/>
      </font>
    </dxf>
    <dxf>
      <font>
        <outline val="0"/>
        <shadow val="0"/>
        <sz val="10"/>
        <name val="Arial"/>
        <family val="2"/>
        <scheme val="none"/>
      </font>
    </dxf>
    <dxf>
      <font>
        <color theme="1"/>
      </font>
      <fill>
        <patternFill>
          <bgColor theme="6" tint="0.79998168889431442"/>
        </patternFill>
      </fill>
      <border>
        <left style="thin">
          <color auto="1"/>
        </left>
        <right style="thin">
          <color auto="1"/>
        </right>
        <top style="thin">
          <color auto="1"/>
        </top>
        <bottom style="thin">
          <color auto="1"/>
        </bottom>
        <vertical/>
        <horizontal/>
      </border>
    </dxf>
    <dxf>
      <font>
        <b/>
        <i val="0"/>
        <color theme="8" tint="-0.24994659260841701"/>
      </font>
      <fill>
        <patternFill>
          <bgColor theme="4" tint="0.79998168889431442"/>
        </patternFill>
      </fill>
      <border>
        <left/>
        <right/>
        <top/>
        <bottom style="thin">
          <color auto="1"/>
        </bottom>
        <vertical/>
        <horizontal/>
      </border>
    </dxf>
    <dxf>
      <font>
        <color theme="1"/>
      </font>
      <fill>
        <patternFill>
          <bgColor rgb="FFECEBE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0" tint="-0.499984740745262"/>
      </font>
      <fill>
        <patternFill patternType="lightUp">
          <fgColor theme="0" tint="-0.34998626667073579"/>
        </patternFill>
      </fill>
    </dxf>
    <dxf>
      <font>
        <color theme="7" tint="-0.499984740745262"/>
      </font>
      <fill>
        <patternFill>
          <bgColor theme="7" tint="0.79998168889431442"/>
        </patternFill>
      </fill>
      <border>
        <left style="thin">
          <color theme="7" tint="-0.499984740745262"/>
        </left>
        <right style="thin">
          <color theme="7" tint="-0.499984740745262"/>
        </right>
        <top style="thin">
          <color theme="7" tint="-0.499984740745262"/>
        </top>
        <bottom style="thin">
          <color theme="7" tint="-0.499984740745262"/>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0" tint="-0.34998626667073579"/>
      </font>
      <fill>
        <patternFill patternType="lightUp">
          <fgColor theme="0" tint="-0.24994659260841701"/>
        </patternFill>
      </fill>
    </dxf>
    <dxf>
      <font>
        <color theme="0" tint="-0.499984740745262"/>
      </font>
      <fill>
        <patternFill patternType="lightUp">
          <fgColor theme="0" tint="-0.34998626667073579"/>
        </patternFill>
      </fill>
    </dxf>
    <dxf>
      <border>
        <left style="thin">
          <color auto="1"/>
        </left>
        <right style="thin">
          <color auto="1"/>
        </right>
        <top style="thin">
          <color auto="1"/>
        </top>
        <bottom style="thin">
          <color auto="1"/>
        </bottom>
        <vertical/>
        <horizontal/>
      </border>
    </dxf>
    <dxf>
      <font>
        <color rgb="FF006100"/>
      </font>
      <fill>
        <patternFill>
          <bgColor rgb="FFADDB7B"/>
        </patternFill>
      </fill>
    </dxf>
    <dxf>
      <font>
        <color rgb="FFD00000"/>
      </font>
      <fill>
        <patternFill>
          <bgColor rgb="FFFFC5C5"/>
        </patternFill>
      </fill>
    </dxf>
    <dxf>
      <font>
        <color theme="1"/>
      </font>
      <fill>
        <patternFill>
          <bgColor theme="0"/>
        </patternFill>
      </fill>
      <border>
        <left style="thin">
          <color auto="1"/>
        </left>
        <right style="thin">
          <color auto="1"/>
        </right>
        <top style="thin">
          <color auto="1"/>
        </top>
        <bottom style="thin">
          <color auto="1"/>
        </bottom>
        <vertical/>
        <horizontal/>
      </border>
    </dxf>
    <dxf>
      <font>
        <color theme="0" tint="-0.34998626667073579"/>
      </font>
      <fill>
        <patternFill patternType="lightUp">
          <fgColor theme="0" tint="-0.34998626667073579"/>
        </patternFill>
      </fill>
    </dxf>
    <dxf>
      <font>
        <color theme="0" tint="-0.34998626667073579"/>
      </font>
      <fill>
        <patternFill patternType="lightUp">
          <fgColor theme="0" tint="-0.34998626667073579"/>
        </patternFill>
      </fill>
    </dxf>
    <dxf>
      <font>
        <color theme="0" tint="-0.34998626667073579"/>
      </font>
      <fill>
        <patternFill patternType="lightUp">
          <fgColor theme="0" tint="-0.34998626667073579"/>
        </patternFill>
      </fill>
    </dxf>
    <dxf>
      <font>
        <color theme="0" tint="-0.34998626667073579"/>
      </font>
      <fill>
        <patternFill patternType="lightUp">
          <fgColor theme="0" tint="-0.34998626667073579"/>
        </patternFill>
      </fill>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theme="0" tint="-0.499984740745262"/>
      </font>
      <fill>
        <patternFill patternType="lightUp">
          <fgColor theme="0" tint="-0.34998626667073579"/>
        </patternFill>
      </fill>
    </dxf>
    <dxf>
      <border diagonalUp="0" diagonalDown="0">
        <left/>
        <right/>
        <top/>
        <bottom/>
        <vertical/>
        <horizontal/>
      </border>
    </dxf>
    <dxf>
      <border diagonalUp="0" diagonalDown="0">
        <left/>
        <right/>
        <top/>
        <bottom/>
        <vertical/>
        <horizontal/>
      </border>
    </dxf>
    <dxf>
      <font>
        <b/>
        <color theme="1"/>
      </font>
      <border>
        <bottom style="thin">
          <color theme="7"/>
        </bottom>
        <vertical/>
        <horizontal/>
      </border>
    </dxf>
    <dxf>
      <font>
        <color theme="1"/>
      </font>
      <border diagonalUp="0" diagonalDown="0">
        <left/>
        <right/>
        <top/>
        <bottom/>
        <vertical/>
        <horizontal/>
      </border>
    </dxf>
    <dxf>
      <font>
        <b/>
        <color theme="1"/>
      </font>
      <border>
        <bottom style="thin">
          <color theme="7"/>
        </bottom>
        <vertical/>
        <horizontal/>
      </border>
    </dxf>
    <dxf>
      <font>
        <color theme="1"/>
      </font>
      <fill>
        <patternFill patternType="solid">
          <bgColor theme="4" tint="0.79998168889431442"/>
        </patternFill>
      </fill>
      <border diagonalUp="0" diagonalDown="0">
        <left/>
        <right/>
        <top/>
        <bottom/>
        <vertical/>
        <horizontal/>
      </border>
    </dxf>
    <dxf>
      <font>
        <b/>
        <color theme="1"/>
      </font>
      <border>
        <bottom style="thin">
          <color theme="4"/>
        </bottom>
        <vertical/>
        <horizontal/>
      </border>
    </dxf>
    <dxf>
      <font>
        <color theme="1"/>
      </font>
      <fill>
        <patternFill>
          <bgColor theme="0"/>
        </patternFill>
      </fill>
      <border diagonalUp="0" diagonalDown="0">
        <left/>
        <right/>
        <top/>
        <bottom/>
        <vertical/>
        <horizontal/>
      </border>
    </dxf>
  </dxfs>
  <tableStyles count="4" defaultTableStyle="TableStyleMedium2" defaultPivotStyle="PivotStyleLight16">
    <tableStyle name="SlicerStyleLight1 2" pivot="0" table="0" count="10" xr9:uid="{976B2937-3384-4CC1-BECD-A5996A146F10}">
      <tableStyleElement type="wholeTable" dxfId="222"/>
      <tableStyleElement type="headerRow" dxfId="221"/>
    </tableStyle>
    <tableStyle name="SlicerStyleLight4 2" pivot="0" table="0" count="10" xr9:uid="{834ED9CA-505F-41B2-A799-87E371D9F536}">
      <tableStyleElement type="wholeTable" dxfId="220"/>
      <tableStyleElement type="headerRow" dxfId="219"/>
    </tableStyle>
    <tableStyle name="SlicerStyleLight4 3" pivot="0" table="0" count="10" xr9:uid="{22D52DFF-DA2D-4194-A306-EF8FC828518D}">
      <tableStyleElement type="wholeTable" dxfId="218"/>
      <tableStyleElement type="headerRow" dxfId="217"/>
    </tableStyle>
    <tableStyle name="Table Style 1" pivot="0" count="2" xr9:uid="{22D1CAF3-DF8D-4FF6-A4E0-CD39267689C4}">
      <tableStyleElement type="wholeTable" dxfId="216"/>
      <tableStyleElement type="firstColumnStripe" dxfId="215"/>
    </tableStyle>
  </tableStyles>
  <colors>
    <mruColors>
      <color rgb="FFA80000"/>
      <color rgb="FFFFAFAF"/>
      <color rgb="FFECEBE0"/>
      <color rgb="FFECEBE7"/>
      <color rgb="FF203315"/>
      <color rgb="FFFFA3A3"/>
      <color rgb="FFFFCDCD"/>
      <color rgb="FFCEFABC"/>
      <color rgb="FFFFC5C5"/>
      <color rgb="FFFFC9C9"/>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4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4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microsoft.com/office/2007/relationships/slicerCache" Target="slicerCaches/slicerCache9.xml"/><Relationship Id="rId26" Type="http://schemas.openxmlformats.org/officeDocument/2006/relationships/sheetMetadata" Target="metadata.xml"/><Relationship Id="rId3" Type="http://schemas.openxmlformats.org/officeDocument/2006/relationships/worksheet" Target="worksheets/sheet3.xml"/><Relationship Id="rId21" Type="http://schemas.microsoft.com/office/2007/relationships/slicerCache" Target="slicerCaches/slicerCache12.xml"/><Relationship Id="rId34" Type="http://schemas.openxmlformats.org/officeDocument/2006/relationships/customXml" Target="../customXml/item6.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sharedStrings" Target="sharedStrings.xml"/><Relationship Id="rId33" Type="http://schemas.openxmlformats.org/officeDocument/2006/relationships/customXml" Target="../customXml/item5.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tyles" Target="styles.xml"/><Relationship Id="rId32"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connections" Target="connections.xml"/><Relationship Id="rId28" Type="http://schemas.openxmlformats.org/officeDocument/2006/relationships/calcChain" Target="calcChain.xml"/><Relationship Id="rId10" Type="http://schemas.microsoft.com/office/2007/relationships/slicerCache" Target="slicerCaches/slicerCache1.xml"/><Relationship Id="rId19" Type="http://schemas.microsoft.com/office/2007/relationships/slicerCache" Target="slicerCaches/slicerCache10.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5.xml"/><Relationship Id="rId22" Type="http://schemas.openxmlformats.org/officeDocument/2006/relationships/theme" Target="theme/theme1.xml"/><Relationship Id="rId27" Type="http://schemas.openxmlformats.org/officeDocument/2006/relationships/powerPivotData" Target="model/item.data"/><Relationship Id="rId30"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519191</xdr:colOff>
      <xdr:row>49</xdr:row>
      <xdr:rowOff>133350</xdr:rowOff>
    </xdr:from>
    <xdr:to>
      <xdr:col>5</xdr:col>
      <xdr:colOff>152400</xdr:colOff>
      <xdr:row>60</xdr:row>
      <xdr:rowOff>27454</xdr:rowOff>
    </xdr:to>
    <mc:AlternateContent xmlns:mc="http://schemas.openxmlformats.org/markup-compatibility/2006" xmlns:sle15="http://schemas.microsoft.com/office/drawing/2012/slicer">
      <mc:Choice Requires="sle15">
        <xdr:graphicFrame macro="">
          <xdr:nvGraphicFramePr>
            <xdr:cNvPr id="7" name="Crop">
              <a:extLst>
                <a:ext uri="{FF2B5EF4-FFF2-40B4-BE49-F238E27FC236}">
                  <a16:creationId xmlns:a16="http://schemas.microsoft.com/office/drawing/2014/main" id="{4E21D490-D9DD-4080-8891-7921F5936D20}"/>
                </a:ext>
              </a:extLst>
            </xdr:cNvPr>
            <xdr:cNvGraphicFramePr/>
          </xdr:nvGraphicFramePr>
          <xdr:xfrm>
            <a:off x="0" y="0"/>
            <a:ext cx="0" cy="0"/>
          </xdr:xfrm>
          <a:graphic>
            <a:graphicData uri="http://schemas.microsoft.com/office/drawing/2010/slicer">
              <sle:slicer xmlns:sle="http://schemas.microsoft.com/office/drawing/2010/slicer" name="Crop"/>
            </a:graphicData>
          </a:graphic>
        </xdr:graphicFrame>
      </mc:Choice>
      <mc:Fallback xmlns="">
        <xdr:sp macro="" textlink="">
          <xdr:nvSpPr>
            <xdr:cNvPr id="0" name=""/>
            <xdr:cNvSpPr>
              <a:spLocks noTextEdit="1"/>
            </xdr:cNvSpPr>
          </xdr:nvSpPr>
          <xdr:spPr>
            <a:xfrm>
              <a:off x="2872426" y="12112438"/>
              <a:ext cx="4306062" cy="19335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5</xdr:col>
      <xdr:colOff>470537</xdr:colOff>
      <xdr:row>49</xdr:row>
      <xdr:rowOff>99547</xdr:rowOff>
    </xdr:from>
    <xdr:to>
      <xdr:col>7</xdr:col>
      <xdr:colOff>1559617</xdr:colOff>
      <xdr:row>60</xdr:row>
      <xdr:rowOff>66675</xdr:rowOff>
    </xdr:to>
    <mc:AlternateContent xmlns:mc="http://schemas.openxmlformats.org/markup-compatibility/2006" xmlns:sle15="http://schemas.microsoft.com/office/drawing/2012/slicer">
      <mc:Choice Requires="sle15">
        <xdr:graphicFrame macro="">
          <xdr:nvGraphicFramePr>
            <xdr:cNvPr id="9" name="BBCH Scenario">
              <a:extLst>
                <a:ext uri="{FF2B5EF4-FFF2-40B4-BE49-F238E27FC236}">
                  <a16:creationId xmlns:a16="http://schemas.microsoft.com/office/drawing/2014/main" id="{E7842572-4B0F-49EA-889A-18D14B71811F}"/>
                </a:ext>
              </a:extLst>
            </xdr:cNvPr>
            <xdr:cNvGraphicFramePr/>
          </xdr:nvGraphicFramePr>
          <xdr:xfrm>
            <a:off x="0" y="0"/>
            <a:ext cx="0" cy="0"/>
          </xdr:xfrm>
          <a:graphic>
            <a:graphicData uri="http://schemas.microsoft.com/office/drawing/2010/slicer">
              <sle:slicer xmlns:sle="http://schemas.microsoft.com/office/drawing/2010/slicer" name="BBCH Scenario"/>
            </a:graphicData>
          </a:graphic>
        </xdr:graphicFrame>
      </mc:Choice>
      <mc:Fallback xmlns="">
        <xdr:sp macro="" textlink="">
          <xdr:nvSpPr>
            <xdr:cNvPr id="0" name=""/>
            <xdr:cNvSpPr>
              <a:spLocks noTextEdit="1"/>
            </xdr:cNvSpPr>
          </xdr:nvSpPr>
          <xdr:spPr>
            <a:xfrm>
              <a:off x="7496625" y="11921753"/>
              <a:ext cx="4462051" cy="2006598"/>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8</xdr:col>
      <xdr:colOff>240462</xdr:colOff>
      <xdr:row>5</xdr:row>
      <xdr:rowOff>76577</xdr:rowOff>
    </xdr:from>
    <xdr:to>
      <xdr:col>14</xdr:col>
      <xdr:colOff>1096</xdr:colOff>
      <xdr:row>57</xdr:row>
      <xdr:rowOff>1</xdr:rowOff>
    </xdr:to>
    <xdr:grpSp>
      <xdr:nvGrpSpPr>
        <xdr:cNvPr id="8" name="Group 7">
          <a:extLst>
            <a:ext uri="{FF2B5EF4-FFF2-40B4-BE49-F238E27FC236}">
              <a16:creationId xmlns:a16="http://schemas.microsoft.com/office/drawing/2014/main" id="{99130796-7894-45A6-86C6-1D424597FB62}"/>
            </a:ext>
          </a:extLst>
        </xdr:cNvPr>
        <xdr:cNvGrpSpPr/>
      </xdr:nvGrpSpPr>
      <xdr:grpSpPr>
        <a:xfrm>
          <a:off x="12432462" y="1076702"/>
          <a:ext cx="4894609" cy="12010649"/>
          <a:chOff x="12447760" y="1045398"/>
          <a:chExt cx="4897289" cy="12375166"/>
        </a:xfrm>
      </xdr:grpSpPr>
      <xdr:grpSp>
        <xdr:nvGrpSpPr>
          <xdr:cNvPr id="6" name="Group 5">
            <a:extLst>
              <a:ext uri="{FF2B5EF4-FFF2-40B4-BE49-F238E27FC236}">
                <a16:creationId xmlns:a16="http://schemas.microsoft.com/office/drawing/2014/main" id="{14EE7DA7-3D4E-4835-BE79-ED35DD2CDB23}"/>
              </a:ext>
            </a:extLst>
          </xdr:cNvPr>
          <xdr:cNvGrpSpPr/>
        </xdr:nvGrpSpPr>
        <xdr:grpSpPr>
          <a:xfrm>
            <a:off x="12459249" y="1045398"/>
            <a:ext cx="4885800" cy="8869803"/>
            <a:chOff x="12462321" y="1029945"/>
            <a:chExt cx="4869501" cy="8828068"/>
          </a:xfrm>
        </xdr:grpSpPr>
        <xdr:sp macro="" textlink="">
          <xdr:nvSpPr>
            <xdr:cNvPr id="24" name="TextBox 23">
              <a:extLst>
                <a:ext uri="{FF2B5EF4-FFF2-40B4-BE49-F238E27FC236}">
                  <a16:creationId xmlns:a16="http://schemas.microsoft.com/office/drawing/2014/main" id="{2A87244F-4C56-465D-AB5E-90221C624BD9}"/>
                </a:ext>
              </a:extLst>
            </xdr:cNvPr>
            <xdr:cNvSpPr txBox="1"/>
          </xdr:nvSpPr>
          <xdr:spPr>
            <a:xfrm>
              <a:off x="12462323" y="6195855"/>
              <a:ext cx="4860000" cy="3662158"/>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b="0" i="0" u="none" strike="noStrike" baseline="0">
                  <a:solidFill>
                    <a:schemeClr val="dk1"/>
                  </a:solidFill>
                  <a:latin typeface="Arial" panose="020B0604020202020204" pitchFamily="34" charset="0"/>
                  <a:ea typeface="+mn-ea"/>
                  <a:cs typeface="Arial" panose="020B0604020202020204" pitchFamily="34" charset="0"/>
                </a:rPr>
                <a:t>Formulation may be more toxic than predicted based in the active substances. This may be due to, e.g. further toxic co-formulants, toxicokinetic interaction or synergism/potentiation of effect. </a:t>
              </a:r>
              <a:r>
                <a:rPr lang="en-GB" sz="1100" b="0" i="0" baseline="0">
                  <a:solidFill>
                    <a:schemeClr val="dk1"/>
                  </a:solidFill>
                  <a:effectLst/>
                  <a:latin typeface="Arial" panose="020B0604020202020204" pitchFamily="34" charset="0"/>
                  <a:ea typeface="+mn-ea"/>
                  <a:cs typeface="Arial" panose="020B0604020202020204" pitchFamily="34" charset="0"/>
                </a:rPr>
                <a:t>It may also reflect the inherent variability of toxicity testing. </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In all these cases, the use of the LD</a:t>
              </a:r>
              <a:r>
                <a:rPr lang="en-GB" sz="1100" b="0" i="0" baseline="-25000">
                  <a:solidFill>
                    <a:schemeClr val="dk1"/>
                  </a:solidFill>
                  <a:effectLst/>
                  <a:latin typeface="Arial" panose="020B0604020202020204" pitchFamily="34" charset="0"/>
                  <a:ea typeface="+mn-ea"/>
                  <a:cs typeface="Arial" panose="020B0604020202020204" pitchFamily="34" charset="0"/>
                </a:rPr>
                <a:t>50</a:t>
              </a:r>
              <a:r>
                <a:rPr lang="en-GB" sz="1100" b="0" i="0" baseline="0">
                  <a:solidFill>
                    <a:schemeClr val="dk1"/>
                  </a:solidFill>
                  <a:effectLst/>
                  <a:latin typeface="Arial" panose="020B0604020202020204" pitchFamily="34" charset="0"/>
                  <a:ea typeface="+mn-ea"/>
                  <a:cs typeface="Arial" panose="020B0604020202020204" pitchFamily="34" charset="0"/>
                </a:rPr>
                <a:t> for the formulation is recommended for the first-tier assessment, because it cannot be excluded that such effects would also occur after exposure of animals to residues in the environment. </a:t>
              </a:r>
            </a:p>
            <a:p>
              <a:endParaRPr lang="en-FI" sz="1100">
                <a:effectLst/>
                <a:latin typeface="Arial" panose="020B0604020202020204" pitchFamily="34" charset="0"/>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Acute toxicity studies with formulations are mainly performed for classification purposes and are not designed for the derivation of a precise LD</a:t>
              </a:r>
              <a:r>
                <a:rPr lang="en-GB" sz="1100" b="0" i="0" baseline="-25000">
                  <a:solidFill>
                    <a:schemeClr val="dk1"/>
                  </a:solidFill>
                  <a:effectLst/>
                  <a:latin typeface="Arial" panose="020B0604020202020204" pitchFamily="34" charset="0"/>
                  <a:ea typeface="+mn-ea"/>
                  <a:cs typeface="Arial" panose="020B0604020202020204" pitchFamily="34" charset="0"/>
                </a:rPr>
                <a:t>50</a:t>
              </a:r>
              <a:r>
                <a:rPr lang="en-GB" sz="1100" b="0" i="0" baseline="0">
                  <a:solidFill>
                    <a:schemeClr val="dk1"/>
                  </a:solidFill>
                  <a:effectLst/>
                  <a:latin typeface="Arial" panose="020B0604020202020204" pitchFamily="34" charset="0"/>
                  <a:ea typeface="+mn-ea"/>
                  <a:cs typeface="Arial" panose="020B0604020202020204" pitchFamily="34" charset="0"/>
                </a:rPr>
                <a:t>. Still, these studies should be considered in the risk assessment as they might provide indications for greater toxicity than expected from the studies with active substances due to, e.g. toxic co-formulants or synergism. In such cases, the use of ‘greater than’ LD</a:t>
              </a:r>
              <a:r>
                <a:rPr lang="en-GB" sz="1100" b="0" i="0" baseline="-25000">
                  <a:solidFill>
                    <a:schemeClr val="dk1"/>
                  </a:solidFill>
                  <a:effectLst/>
                  <a:latin typeface="Arial" panose="020B0604020202020204" pitchFamily="34" charset="0"/>
                  <a:ea typeface="+mn-ea"/>
                  <a:cs typeface="Arial" panose="020B0604020202020204" pitchFamily="34" charset="0"/>
                </a:rPr>
                <a:t>50</a:t>
              </a:r>
              <a:r>
                <a:rPr lang="en-GB" sz="1100" b="0" i="0" baseline="0">
                  <a:solidFill>
                    <a:schemeClr val="dk1"/>
                  </a:solidFill>
                  <a:effectLst/>
                  <a:latin typeface="Arial" panose="020B0604020202020204" pitchFamily="34" charset="0"/>
                  <a:ea typeface="+mn-ea"/>
                  <a:cs typeface="Arial" panose="020B0604020202020204" pitchFamily="34" charset="0"/>
                </a:rPr>
                <a:t> from a formulation study would be more precautionary and appropriate than a predicted LD</a:t>
              </a:r>
              <a:r>
                <a:rPr lang="en-GB" sz="1100" b="0" i="0" baseline="-25000">
                  <a:solidFill>
                    <a:schemeClr val="dk1"/>
                  </a:solidFill>
                  <a:effectLst/>
                  <a:latin typeface="Arial" panose="020B0604020202020204" pitchFamily="34" charset="0"/>
                  <a:ea typeface="+mn-ea"/>
                  <a:cs typeface="Arial" panose="020B0604020202020204" pitchFamily="34" charset="0"/>
                </a:rPr>
                <a:t>50</a:t>
              </a:r>
              <a:r>
                <a:rPr lang="en-GB" sz="1100" b="0" i="0" baseline="0">
                  <a:solidFill>
                    <a:schemeClr val="dk1"/>
                  </a:solidFill>
                  <a:effectLst/>
                  <a:latin typeface="Arial" panose="020B0604020202020204" pitchFamily="34" charset="0"/>
                  <a:ea typeface="+mn-ea"/>
                  <a:cs typeface="Arial" panose="020B0604020202020204" pitchFamily="34" charset="0"/>
                </a:rPr>
                <a:t>.</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a:effectLst/>
                  <a:latin typeface="Arial" panose="020B0604020202020204" pitchFamily="34" charset="0"/>
                  <a:cs typeface="Arial" panose="020B0604020202020204" pitchFamily="34" charset="0"/>
                </a:rPr>
                <a:t>However,</a:t>
              </a:r>
              <a:r>
                <a:rPr lang="en-GB" sz="1100" baseline="0">
                  <a:effectLst/>
                  <a:latin typeface="Arial" panose="020B0604020202020204" pitchFamily="34" charset="0"/>
                  <a:cs typeface="Arial" panose="020B0604020202020204" pitchFamily="34" charset="0"/>
                </a:rPr>
                <a:t> a</a:t>
              </a:r>
              <a:r>
                <a:rPr lang="en-GB" sz="1100">
                  <a:effectLst/>
                  <a:latin typeface="Arial" panose="020B0604020202020204" pitchFamily="34" charset="0"/>
                  <a:cs typeface="Arial" panose="020B0604020202020204" pitchFamily="34" charset="0"/>
                </a:rPr>
                <a:t> limit test endpoint may not necessarily reflect higher toxicity of the formulation, as dose spacing may contribute to overestimate the toxicity. </a:t>
              </a:r>
              <a:endParaRPr lang="en-FI" sz="1100">
                <a:effectLst/>
                <a:latin typeface="Arial" panose="020B0604020202020204" pitchFamily="34" charset="0"/>
                <a:cs typeface="Arial" panose="020B0604020202020204" pitchFamily="34" charset="0"/>
              </a:endParaRPr>
            </a:p>
          </xdr:txBody>
        </xdr:sp>
        <xdr:grpSp>
          <xdr:nvGrpSpPr>
            <xdr:cNvPr id="5" name="Group 4">
              <a:extLst>
                <a:ext uri="{FF2B5EF4-FFF2-40B4-BE49-F238E27FC236}">
                  <a16:creationId xmlns:a16="http://schemas.microsoft.com/office/drawing/2014/main" id="{BC6BBB44-B0E7-4BBA-A07A-F643EB2AACC6}"/>
                </a:ext>
              </a:extLst>
            </xdr:cNvPr>
            <xdr:cNvGrpSpPr/>
          </xdr:nvGrpSpPr>
          <xdr:grpSpPr>
            <a:xfrm>
              <a:off x="12462321" y="1029945"/>
              <a:ext cx="4869501" cy="4676101"/>
              <a:chOff x="12454995" y="1040199"/>
              <a:chExt cx="4881873" cy="4698215"/>
            </a:xfrm>
          </xdr:grpSpPr>
          <xdr:sp macro="" textlink="">
            <xdr:nvSpPr>
              <xdr:cNvPr id="23" name="TextBox 22">
                <a:extLst>
                  <a:ext uri="{FF2B5EF4-FFF2-40B4-BE49-F238E27FC236}">
                    <a16:creationId xmlns:a16="http://schemas.microsoft.com/office/drawing/2014/main" id="{0C52FE1C-AEFE-4FC3-AF12-09B3B9753977}"/>
                  </a:ext>
                </a:extLst>
              </xdr:cNvPr>
              <xdr:cNvSpPr txBox="1"/>
            </xdr:nvSpPr>
            <xdr:spPr>
              <a:xfrm>
                <a:off x="12454995" y="1040199"/>
                <a:ext cx="4872347" cy="1530610"/>
              </a:xfrm>
              <a:prstGeom prst="rect">
                <a:avLst/>
              </a:prstGeom>
              <a:solidFill>
                <a:srgbClr val="F3F2E7"/>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b="0" i="0" u="none" strike="noStrike" baseline="0">
                    <a:solidFill>
                      <a:schemeClr val="dk1"/>
                    </a:solidFill>
                    <a:latin typeface="Arial" panose="020B0604020202020204" pitchFamily="34" charset="0"/>
                    <a:ea typeface="+mn-ea"/>
                    <a:cs typeface="Arial" panose="020B0604020202020204" pitchFamily="34" charset="0"/>
                  </a:rPr>
                  <a:t>If one active substance can be identified where the two quotients “</a:t>
                </a:r>
                <a:r>
                  <a:rPr lang="en-GB" sz="1100" b="0" i="0" u="sng" strike="noStrike" baseline="0">
                    <a:solidFill>
                      <a:schemeClr val="dk1"/>
                    </a:solidFill>
                    <a:latin typeface="Arial" panose="020B0604020202020204" pitchFamily="34" charset="0"/>
                    <a:ea typeface="+mn-ea"/>
                    <a:cs typeface="Arial" panose="020B0604020202020204" pitchFamily="34" charset="0"/>
                  </a:rPr>
                  <a:t>tox per fraction (a.s.)</a:t>
                </a:r>
                <a:r>
                  <a:rPr lang="en-GB" sz="1100" b="0" i="0" u="none" strike="noStrike" baseline="0">
                    <a:solidFill>
                      <a:schemeClr val="dk1"/>
                    </a:solidFill>
                    <a:latin typeface="Arial" panose="020B0604020202020204" pitchFamily="34" charset="0"/>
                    <a:ea typeface="+mn-ea"/>
                    <a:cs typeface="Arial" panose="020B0604020202020204" pitchFamily="34" charset="0"/>
                  </a:rPr>
                  <a:t>” and “</a:t>
                </a:r>
                <a:r>
                  <a:rPr lang="en-GB" sz="1100" b="0" i="0" u="sng" strike="noStrike" baseline="0">
                    <a:solidFill>
                      <a:schemeClr val="dk1"/>
                    </a:solidFill>
                    <a:latin typeface="Arial" panose="020B0604020202020204" pitchFamily="34" charset="0"/>
                    <a:ea typeface="+mn-ea"/>
                    <a:cs typeface="Arial" panose="020B0604020202020204" pitchFamily="34" charset="0"/>
                  </a:rPr>
                  <a:t>tox per fraction (mix)</a:t>
                </a:r>
                <a:r>
                  <a:rPr lang="en-GB" sz="1100" b="0" i="0" u="none" strike="noStrike" baseline="0">
                    <a:solidFill>
                      <a:schemeClr val="dk1"/>
                    </a:solidFill>
                    <a:latin typeface="Arial" panose="020B0604020202020204" pitchFamily="34" charset="0"/>
                    <a:ea typeface="+mn-ea"/>
                    <a:cs typeface="Arial" panose="020B0604020202020204" pitchFamily="34" charset="0"/>
                  </a:rPr>
                  <a:t>” deviate by ≤ 10 %, this indicates that this active substance will contribute to ≥ 90 % to mixture toxicity, while the other components of the mixture will only have a marginal impact on the predicted risk. </a:t>
                </a:r>
              </a:p>
              <a:p>
                <a:endParaRPr lang="en-GB" sz="1100" b="0" i="0" u="none" strike="noStrike" baseline="0">
                  <a:solidFill>
                    <a:schemeClr val="dk1"/>
                  </a:solidFill>
                  <a:latin typeface="Arial" panose="020B0604020202020204" pitchFamily="34" charset="0"/>
                  <a:ea typeface="+mn-ea"/>
                  <a:cs typeface="Arial" panose="020B0604020202020204" pitchFamily="34" charset="0"/>
                </a:endParaRPr>
              </a:p>
              <a:p>
                <a:r>
                  <a:rPr lang="en-GB" sz="1100" b="0" i="0" u="none" strike="noStrike" baseline="0">
                    <a:solidFill>
                      <a:schemeClr val="dk1"/>
                    </a:solidFill>
                    <a:latin typeface="Arial" panose="020B0604020202020204" pitchFamily="34" charset="0"/>
                    <a:ea typeface="+mn-ea"/>
                    <a:cs typeface="Arial" panose="020B0604020202020204" pitchFamily="34" charset="0"/>
                  </a:rPr>
                  <a:t>Note that these 'tox per fraction'-quotients themselves have no biological meaning; they are only to be used for comparison.</a:t>
                </a:r>
              </a:p>
            </xdr:txBody>
          </xdr:sp>
          <xdr:grpSp>
            <xdr:nvGrpSpPr>
              <xdr:cNvPr id="2" name="Group 1">
                <a:extLst>
                  <a:ext uri="{FF2B5EF4-FFF2-40B4-BE49-F238E27FC236}">
                    <a16:creationId xmlns:a16="http://schemas.microsoft.com/office/drawing/2014/main" id="{08D3EA08-BB21-4D9D-8294-7FA5CE269E3B}"/>
                  </a:ext>
                </a:extLst>
              </xdr:cNvPr>
              <xdr:cNvGrpSpPr/>
            </xdr:nvGrpSpPr>
            <xdr:grpSpPr>
              <a:xfrm>
                <a:off x="12464520" y="2653068"/>
                <a:ext cx="4872348" cy="3085346"/>
                <a:chOff x="12471843" y="2661722"/>
                <a:chExt cx="4870575" cy="3101573"/>
              </a:xfrm>
            </xdr:grpSpPr>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E9CEA67C-3001-4E89-B4FD-A99A3D344340}"/>
                        </a:ext>
                      </a:extLst>
                    </xdr:cNvPr>
                    <xdr:cNvSpPr txBox="1"/>
                  </xdr:nvSpPr>
                  <xdr:spPr>
                    <a:xfrm>
                      <a:off x="12471843" y="2661722"/>
                      <a:ext cx="4870575" cy="1437901"/>
                    </a:xfrm>
                    <a:prstGeom prst="rect">
                      <a:avLst/>
                    </a:prstGeom>
                    <a:solidFill>
                      <a:srgbClr val="F3F2E7"/>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left"/>
                          </m:oMathParaPr>
                          <m:oMath xmlns:m="http://schemas.openxmlformats.org/officeDocument/2006/math">
                            <m:sSub>
                              <m:sSubPr>
                                <m:ctrlPr>
                                  <a:rPr lang="en-GB" sz="1050" b="0" i="1" u="none" strike="noStrike" baseline="0" smtClean="0">
                                    <a:solidFill>
                                      <a:schemeClr val="dk1"/>
                                    </a:solidFill>
                                    <a:latin typeface="Cambria Math" panose="02040503050406030204" pitchFamily="18" charset="0"/>
                                    <a:ea typeface="+mn-ea"/>
                                    <a:cs typeface="+mn-cs"/>
                                  </a:rPr>
                                </m:ctrlPr>
                              </m:sSubPr>
                              <m:e>
                                <m:r>
                                  <m:rPr>
                                    <m:sty m:val="p"/>
                                  </m:rPr>
                                  <a:rPr lang="en-GB" sz="1050" b="0" i="1" u="none" strike="noStrike" baseline="0" smtClean="0">
                                    <a:solidFill>
                                      <a:schemeClr val="dk1"/>
                                    </a:solidFill>
                                    <a:latin typeface="Cambria Math" panose="02040503050406030204" pitchFamily="18" charset="0"/>
                                    <a:ea typeface="+mn-ea"/>
                                    <a:cs typeface="+mn-cs"/>
                                  </a:rPr>
                                  <m:t>LD</m:t>
                                </m:r>
                              </m:e>
                              <m:sub>
                                <m:r>
                                  <a:rPr lang="en-GB" sz="1050" b="0" i="0" u="none" strike="noStrike" baseline="0" smtClean="0">
                                    <a:solidFill>
                                      <a:schemeClr val="dk1"/>
                                    </a:solidFill>
                                    <a:latin typeface="Cambria Math" panose="02040503050406030204" pitchFamily="18" charset="0"/>
                                    <a:ea typeface="+mn-ea"/>
                                    <a:cs typeface="+mn-cs"/>
                                  </a:rPr>
                                  <m:t>50</m:t>
                                </m:r>
                              </m:sub>
                            </m:sSub>
                            <m:d>
                              <m:dPr>
                                <m:ctrlPr>
                                  <a:rPr lang="en-GB" sz="1050" b="0" i="1" u="none" strike="noStrike" baseline="0" smtClean="0">
                                    <a:solidFill>
                                      <a:schemeClr val="dk1"/>
                                    </a:solidFill>
                                    <a:latin typeface="Cambria Math" panose="02040503050406030204" pitchFamily="18" charset="0"/>
                                    <a:ea typeface="+mn-ea"/>
                                    <a:cs typeface="+mn-cs"/>
                                  </a:rPr>
                                </m:ctrlPr>
                              </m:dPr>
                              <m:e>
                                <m:r>
                                  <m:rPr>
                                    <m:sty m:val="p"/>
                                  </m:rPr>
                                  <a:rPr lang="en-GB" sz="1050" b="0" i="1" u="none" strike="noStrike" baseline="0" smtClean="0">
                                    <a:solidFill>
                                      <a:schemeClr val="dk1"/>
                                    </a:solidFill>
                                    <a:latin typeface="Cambria Math" panose="02040503050406030204" pitchFamily="18" charset="0"/>
                                    <a:ea typeface="+mn-ea"/>
                                    <a:cs typeface="+mn-cs"/>
                                  </a:rPr>
                                  <m:t>mix</m:t>
                                </m:r>
                              </m:e>
                            </m:d>
                            <m:r>
                              <a:rPr lang="en-GB" sz="1050" b="0" i="0" u="none" strike="noStrike" baseline="0" smtClean="0">
                                <a:solidFill>
                                  <a:schemeClr val="dk1"/>
                                </a:solidFill>
                                <a:latin typeface="Cambria Math" panose="02040503050406030204" pitchFamily="18" charset="0"/>
                                <a:ea typeface="+mn-ea"/>
                                <a:cs typeface="+mn-cs"/>
                              </a:rPr>
                              <m:t>=</m:t>
                            </m:r>
                            <m:sSup>
                              <m:sSupPr>
                                <m:ctrlPr>
                                  <a:rPr lang="en-GB" sz="1050" b="0" i="1" u="none" strike="noStrike" baseline="0" smtClean="0">
                                    <a:solidFill>
                                      <a:schemeClr val="dk1"/>
                                    </a:solidFill>
                                    <a:latin typeface="Cambria Math" panose="02040503050406030204" pitchFamily="18" charset="0"/>
                                    <a:ea typeface="+mn-ea"/>
                                    <a:cs typeface="+mn-cs"/>
                                  </a:rPr>
                                </m:ctrlPr>
                              </m:sSupPr>
                              <m:e>
                                <m:d>
                                  <m:dPr>
                                    <m:ctrlPr>
                                      <a:rPr lang="en-GB" sz="1050" b="0" i="1" u="none" strike="noStrike" baseline="0" smtClean="0">
                                        <a:solidFill>
                                          <a:schemeClr val="dk1"/>
                                        </a:solidFill>
                                        <a:latin typeface="Cambria Math" panose="02040503050406030204" pitchFamily="18" charset="0"/>
                                        <a:ea typeface="+mn-ea"/>
                                        <a:cs typeface="+mn-cs"/>
                                      </a:rPr>
                                    </m:ctrlPr>
                                  </m:dPr>
                                  <m:e>
                                    <m:nary>
                                      <m:naryPr>
                                        <m:chr m:val="∑"/>
                                        <m:supHide m:val="on"/>
                                        <m:ctrlPr>
                                          <a:rPr lang="en-GB" sz="1050" b="0" i="1" u="none" strike="noStrike" baseline="0" smtClean="0">
                                            <a:solidFill>
                                              <a:schemeClr val="dk1"/>
                                            </a:solidFill>
                                            <a:latin typeface="Cambria Math" panose="02040503050406030204" pitchFamily="18" charset="0"/>
                                            <a:ea typeface="+mn-ea"/>
                                            <a:cs typeface="+mn-cs"/>
                                          </a:rPr>
                                        </m:ctrlPr>
                                      </m:naryPr>
                                      <m:sub>
                                        <m:r>
                                          <m:rPr>
                                            <m:sty m:val="p"/>
                                          </m:rPr>
                                          <a:rPr lang="en-GB" sz="1050" b="0" i="1" u="none" strike="noStrike" baseline="0" smtClean="0">
                                            <a:solidFill>
                                              <a:schemeClr val="dk1"/>
                                            </a:solidFill>
                                            <a:latin typeface="Cambria Math" panose="02040503050406030204" pitchFamily="18" charset="0"/>
                                            <a:ea typeface="+mn-ea"/>
                                            <a:cs typeface="+mn-cs"/>
                                          </a:rPr>
                                          <m:t>i</m:t>
                                        </m:r>
                                      </m:sub>
                                      <m:sup/>
                                      <m:e>
                                        <m:f>
                                          <m:fPr>
                                            <m:ctrlPr>
                                              <a:rPr lang="en-GB" sz="1050" b="0" i="1" u="none" strike="noStrike" baseline="0" smtClean="0">
                                                <a:solidFill>
                                                  <a:schemeClr val="dk1"/>
                                                </a:solidFill>
                                                <a:latin typeface="Cambria Math" panose="02040503050406030204" pitchFamily="18" charset="0"/>
                                                <a:ea typeface="+mn-ea"/>
                                                <a:cs typeface="+mn-cs"/>
                                              </a:rPr>
                                            </m:ctrlPr>
                                          </m:fPr>
                                          <m:num>
                                            <m:sSub>
                                              <m:sSubPr>
                                                <m:ctrlPr>
                                                  <a:rPr lang="en-GB" sz="1050" b="0" i="1" u="none" strike="noStrike" baseline="0" smtClean="0">
                                                    <a:solidFill>
                                                      <a:schemeClr val="dk1"/>
                                                    </a:solidFill>
                                                    <a:latin typeface="Cambria Math" panose="02040503050406030204" pitchFamily="18" charset="0"/>
                                                    <a:ea typeface="+mn-ea"/>
                                                    <a:cs typeface="+mn-cs"/>
                                                  </a:rPr>
                                                </m:ctrlPr>
                                              </m:sSubPr>
                                              <m:e>
                                                <m:r>
                                                  <m:rPr>
                                                    <m:sty m:val="p"/>
                                                  </m:rPr>
                                                  <a:rPr lang="en-GB" sz="1050" b="0" i="1" u="none" strike="noStrike" baseline="0" smtClean="0">
                                                    <a:solidFill>
                                                      <a:schemeClr val="dk1"/>
                                                    </a:solidFill>
                                                    <a:latin typeface="Cambria Math" panose="02040503050406030204" pitchFamily="18" charset="0"/>
                                                    <a:ea typeface="+mn-ea"/>
                                                    <a:cs typeface="+mn-cs"/>
                                                  </a:rPr>
                                                  <m:t>X</m:t>
                                                </m:r>
                                              </m:e>
                                              <m:sub>
                                                <m:sSub>
                                                  <m:sSubPr>
                                                    <m:ctrlPr>
                                                      <a:rPr lang="en-GB" sz="1050" b="0" i="1" u="none" strike="noStrike" baseline="0" smtClean="0">
                                                        <a:solidFill>
                                                          <a:schemeClr val="dk1"/>
                                                        </a:solidFill>
                                                        <a:latin typeface="Cambria Math" panose="02040503050406030204" pitchFamily="18" charset="0"/>
                                                        <a:ea typeface="+mn-ea"/>
                                                        <a:cs typeface="+mn-cs"/>
                                                      </a:rPr>
                                                    </m:ctrlPr>
                                                  </m:sSubPr>
                                                  <m:e>
                                                    <m:r>
                                                      <a:rPr lang="en-GB" sz="1050" b="0" i="1" u="none" strike="noStrike" baseline="0" smtClean="0">
                                                        <a:solidFill>
                                                          <a:schemeClr val="dk1"/>
                                                        </a:solidFill>
                                                        <a:latin typeface="Cambria Math" panose="02040503050406030204" pitchFamily="18" charset="0"/>
                                                        <a:ea typeface="+mn-ea"/>
                                                        <a:cs typeface="+mn-cs"/>
                                                      </a:rPr>
                                                      <m:t>(</m:t>
                                                    </m:r>
                                                    <m:r>
                                                      <m:rPr>
                                                        <m:sty m:val="p"/>
                                                      </m:rPr>
                                                      <a:rPr lang="en-GB" sz="1050" b="0" i="1" u="none" strike="noStrike" baseline="0" smtClean="0">
                                                        <a:solidFill>
                                                          <a:schemeClr val="dk1"/>
                                                        </a:solidFill>
                                                        <a:latin typeface="Cambria Math" panose="02040503050406030204" pitchFamily="18" charset="0"/>
                                                        <a:ea typeface="+mn-ea"/>
                                                        <a:cs typeface="+mn-cs"/>
                                                      </a:rPr>
                                                      <m:t>a</m:t>
                                                    </m:r>
                                                    <m:r>
                                                      <a:rPr lang="en-GB" sz="1050" b="0" i="1" u="none" strike="noStrike" baseline="0" smtClean="0">
                                                        <a:solidFill>
                                                          <a:schemeClr val="dk1"/>
                                                        </a:solidFill>
                                                        <a:latin typeface="Cambria Math" panose="02040503050406030204" pitchFamily="18" charset="0"/>
                                                        <a:ea typeface="+mn-ea"/>
                                                        <a:cs typeface="+mn-cs"/>
                                                      </a:rPr>
                                                      <m:t>.</m:t>
                                                    </m:r>
                                                    <m:r>
                                                      <m:rPr>
                                                        <m:sty m:val="p"/>
                                                      </m:rPr>
                                                      <a:rPr lang="en-GB" sz="1050" b="0" i="1" u="none" strike="noStrike" baseline="0" smtClean="0">
                                                        <a:solidFill>
                                                          <a:schemeClr val="dk1"/>
                                                        </a:solidFill>
                                                        <a:latin typeface="Cambria Math" panose="02040503050406030204" pitchFamily="18" charset="0"/>
                                                        <a:ea typeface="+mn-ea"/>
                                                        <a:cs typeface="+mn-cs"/>
                                                      </a:rPr>
                                                      <m:t>s</m:t>
                                                    </m:r>
                                                    <m:r>
                                                      <a:rPr lang="en-GB" sz="1050" b="0" i="1" u="none" strike="noStrike" baseline="0" smtClean="0">
                                                        <a:solidFill>
                                                          <a:schemeClr val="dk1"/>
                                                        </a:solidFill>
                                                        <a:latin typeface="Cambria Math" panose="02040503050406030204" pitchFamily="18" charset="0"/>
                                                        <a:ea typeface="+mn-ea"/>
                                                        <a:cs typeface="+mn-cs"/>
                                                      </a:rPr>
                                                      <m:t>.</m:t>
                                                    </m:r>
                                                  </m:e>
                                                  <m:sub>
                                                    <m:r>
                                                      <m:rPr>
                                                        <m:sty m:val="p"/>
                                                      </m:rPr>
                                                      <a:rPr lang="en-GB" sz="1050" b="0" i="1" u="none" strike="noStrike" baseline="0" smtClean="0">
                                                        <a:solidFill>
                                                          <a:schemeClr val="dk1"/>
                                                        </a:solidFill>
                                                        <a:latin typeface="Cambria Math" panose="02040503050406030204" pitchFamily="18" charset="0"/>
                                                        <a:ea typeface="+mn-ea"/>
                                                        <a:cs typeface="+mn-cs"/>
                                                      </a:rPr>
                                                      <m:t>i</m:t>
                                                    </m:r>
                                                  </m:sub>
                                                </m:sSub>
                                                <m:r>
                                                  <a:rPr lang="en-GB" sz="1050" b="0" i="0" u="none" strike="noStrike" baseline="0" smtClean="0">
                                                    <a:solidFill>
                                                      <a:schemeClr val="dk1"/>
                                                    </a:solidFill>
                                                    <a:latin typeface="Cambria Math" panose="02040503050406030204" pitchFamily="18" charset="0"/>
                                                    <a:ea typeface="+mn-ea"/>
                                                    <a:cs typeface="+mn-cs"/>
                                                  </a:rPr>
                                                  <m:t>)</m:t>
                                                </m:r>
                                              </m:sub>
                                            </m:sSub>
                                          </m:num>
                                          <m:den>
                                            <m:sSub>
                                              <m:sSubPr>
                                                <m:ctrlPr>
                                                  <a:rPr lang="en-GB" sz="1050" b="0" i="1" baseline="0">
                                                    <a:solidFill>
                                                      <a:schemeClr val="dk1"/>
                                                    </a:solidFill>
                                                    <a:effectLst/>
                                                    <a:latin typeface="Cambria Math" panose="02040503050406030204" pitchFamily="18" charset="0"/>
                                                    <a:ea typeface="+mn-ea"/>
                                                    <a:cs typeface="+mn-cs"/>
                                                  </a:rPr>
                                                </m:ctrlPr>
                                              </m:sSubPr>
                                              <m:e>
                                                <m:r>
                                                  <m:rPr>
                                                    <m:sty m:val="p"/>
                                                  </m:rPr>
                                                  <a:rPr lang="en-GB" sz="1050" b="0" i="1" baseline="0">
                                                    <a:solidFill>
                                                      <a:schemeClr val="dk1"/>
                                                    </a:solidFill>
                                                    <a:effectLst/>
                                                    <a:latin typeface="Cambria Math" panose="02040503050406030204" pitchFamily="18" charset="0"/>
                                                    <a:ea typeface="+mn-ea"/>
                                                    <a:cs typeface="+mn-cs"/>
                                                  </a:rPr>
                                                  <m:t>LD</m:t>
                                                </m:r>
                                              </m:e>
                                              <m:sub>
                                                <m:r>
                                                  <a:rPr lang="en-GB" sz="1050" b="0" i="0" baseline="0">
                                                    <a:solidFill>
                                                      <a:schemeClr val="dk1"/>
                                                    </a:solidFill>
                                                    <a:effectLst/>
                                                    <a:latin typeface="Cambria Math" panose="02040503050406030204" pitchFamily="18" charset="0"/>
                                                    <a:ea typeface="+mn-ea"/>
                                                    <a:cs typeface="+mn-cs"/>
                                                  </a:rPr>
                                                  <m:t>50</m:t>
                                                </m:r>
                                                <m:sSub>
                                                  <m:sSubPr>
                                                    <m:ctrlPr>
                                                      <a:rPr lang="en-GB" sz="1050" b="0" i="1" baseline="0">
                                                        <a:solidFill>
                                                          <a:schemeClr val="dk1"/>
                                                        </a:solidFill>
                                                        <a:effectLst/>
                                                        <a:latin typeface="Cambria Math" panose="02040503050406030204" pitchFamily="18" charset="0"/>
                                                        <a:ea typeface="+mn-ea"/>
                                                        <a:cs typeface="+mn-cs"/>
                                                      </a:rPr>
                                                    </m:ctrlPr>
                                                  </m:sSubPr>
                                                  <m:e>
                                                    <m:r>
                                                      <a:rPr lang="en-GB" sz="1050" b="0" i="1" baseline="0">
                                                        <a:solidFill>
                                                          <a:schemeClr val="dk1"/>
                                                        </a:solidFill>
                                                        <a:effectLst/>
                                                        <a:latin typeface="Cambria Math" panose="02040503050406030204" pitchFamily="18" charset="0"/>
                                                        <a:ea typeface="+mn-ea"/>
                                                        <a:cs typeface="+mn-cs"/>
                                                      </a:rPr>
                                                      <m:t>(</m:t>
                                                    </m:r>
                                                    <m:r>
                                                      <m:rPr>
                                                        <m:sty m:val="p"/>
                                                      </m:rPr>
                                                      <a:rPr lang="en-GB" sz="1050" b="0" i="1" baseline="0">
                                                        <a:solidFill>
                                                          <a:schemeClr val="dk1"/>
                                                        </a:solidFill>
                                                        <a:effectLst/>
                                                        <a:latin typeface="Cambria Math" panose="02040503050406030204" pitchFamily="18" charset="0"/>
                                                        <a:ea typeface="+mn-ea"/>
                                                        <a:cs typeface="+mn-cs"/>
                                                      </a:rPr>
                                                      <m:t>a</m:t>
                                                    </m:r>
                                                    <m:r>
                                                      <a:rPr lang="en-GB" sz="1050" b="0" i="1" baseline="0">
                                                        <a:solidFill>
                                                          <a:schemeClr val="dk1"/>
                                                        </a:solidFill>
                                                        <a:effectLst/>
                                                        <a:latin typeface="Cambria Math" panose="02040503050406030204" pitchFamily="18" charset="0"/>
                                                        <a:ea typeface="+mn-ea"/>
                                                        <a:cs typeface="+mn-cs"/>
                                                      </a:rPr>
                                                      <m:t>.</m:t>
                                                    </m:r>
                                                    <m:r>
                                                      <m:rPr>
                                                        <m:sty m:val="p"/>
                                                      </m:rPr>
                                                      <a:rPr lang="en-GB" sz="1050" b="0" i="1" baseline="0">
                                                        <a:solidFill>
                                                          <a:schemeClr val="dk1"/>
                                                        </a:solidFill>
                                                        <a:effectLst/>
                                                        <a:latin typeface="Cambria Math" panose="02040503050406030204" pitchFamily="18" charset="0"/>
                                                        <a:ea typeface="+mn-ea"/>
                                                        <a:cs typeface="+mn-cs"/>
                                                      </a:rPr>
                                                      <m:t>s</m:t>
                                                    </m:r>
                                                    <m:r>
                                                      <a:rPr lang="en-GB" sz="1050" b="0" i="1" baseline="0">
                                                        <a:solidFill>
                                                          <a:schemeClr val="dk1"/>
                                                        </a:solidFill>
                                                        <a:effectLst/>
                                                        <a:latin typeface="Cambria Math" panose="02040503050406030204" pitchFamily="18" charset="0"/>
                                                        <a:ea typeface="+mn-ea"/>
                                                        <a:cs typeface="+mn-cs"/>
                                                      </a:rPr>
                                                      <m:t>.</m:t>
                                                    </m:r>
                                                  </m:e>
                                                  <m:sub>
                                                    <m:r>
                                                      <m:rPr>
                                                        <m:sty m:val="p"/>
                                                      </m:rPr>
                                                      <a:rPr lang="en-GB" sz="1050" b="0" i="1" baseline="0">
                                                        <a:solidFill>
                                                          <a:schemeClr val="dk1"/>
                                                        </a:solidFill>
                                                        <a:effectLst/>
                                                        <a:latin typeface="Cambria Math" panose="02040503050406030204" pitchFamily="18" charset="0"/>
                                                        <a:ea typeface="+mn-ea"/>
                                                        <a:cs typeface="+mn-cs"/>
                                                      </a:rPr>
                                                      <m:t>i</m:t>
                                                    </m:r>
                                                  </m:sub>
                                                </m:sSub>
                                                <m:r>
                                                  <a:rPr lang="en-GB" sz="1050" b="0" i="0" baseline="0">
                                                    <a:solidFill>
                                                      <a:schemeClr val="dk1"/>
                                                    </a:solidFill>
                                                    <a:effectLst/>
                                                    <a:latin typeface="Cambria Math" panose="02040503050406030204" pitchFamily="18" charset="0"/>
                                                    <a:ea typeface="+mn-ea"/>
                                                    <a:cs typeface="+mn-cs"/>
                                                  </a:rPr>
                                                  <m:t>)</m:t>
                                                </m:r>
                                              </m:sub>
                                            </m:sSub>
                                          </m:den>
                                        </m:f>
                                      </m:e>
                                    </m:nary>
                                  </m:e>
                                </m:d>
                              </m:e>
                              <m:sup>
                                <m:r>
                                  <a:rPr lang="en-GB" sz="1050" b="0" i="0" u="none" strike="noStrike" baseline="0" smtClean="0">
                                    <a:solidFill>
                                      <a:schemeClr val="dk1"/>
                                    </a:solidFill>
                                    <a:latin typeface="Cambria Math" panose="02040503050406030204" pitchFamily="18" charset="0"/>
                                    <a:ea typeface="+mn-ea"/>
                                    <a:cs typeface="+mn-cs"/>
                                  </a:rPr>
                                  <m:t>−1</m:t>
                                </m:r>
                              </m:sup>
                            </m:sSup>
                          </m:oMath>
                        </m:oMathPara>
                      </a14:m>
                      <a:endParaRPr lang="en-GB" sz="1050" b="0" i="0" u="none" strike="noStrike" baseline="0">
                        <a:solidFill>
                          <a:schemeClr val="dk1"/>
                        </a:solidFill>
                        <a:latin typeface="Arial" panose="020B0604020202020204" pitchFamily="34" charset="0"/>
                        <a:ea typeface="+mn-ea"/>
                        <a:cs typeface="Arial" panose="020B0604020202020204" pitchFamily="34" charset="0"/>
                      </a:endParaRPr>
                    </a:p>
                    <a:p>
                      <a:endParaRPr lang="en-GB" sz="1000" b="0" i="0" u="none" strike="noStrike" baseline="0">
                        <a:solidFill>
                          <a:schemeClr val="dk1"/>
                        </a:solidFill>
                        <a:latin typeface="Arial" panose="020B0604020202020204" pitchFamily="34" charset="0"/>
                        <a:ea typeface="+mn-ea"/>
                        <a:cs typeface="Arial" panose="020B0604020202020204" pitchFamily="34" charset="0"/>
                      </a:endParaRPr>
                    </a:p>
                    <a:p>
                      <a:r>
                        <a:rPr lang="en-GB" sz="1050" b="0" i="0" u="none" strike="noStrike" baseline="0">
                          <a:solidFill>
                            <a:schemeClr val="dk1"/>
                          </a:solidFill>
                          <a:latin typeface="Arial" panose="020B0604020202020204" pitchFamily="34" charset="0"/>
                          <a:ea typeface="+mn-ea"/>
                          <a:cs typeface="Arial" panose="020B0604020202020204" pitchFamily="34" charset="0"/>
                        </a:rPr>
                        <a:t>With:</a:t>
                      </a:r>
                    </a:p>
                    <a:p>
                      <a:r>
                        <a:rPr lang="en-GB" sz="1050" b="0" i="0" u="none" strike="noStrike" baseline="0">
                          <a:solidFill>
                            <a:schemeClr val="dk1"/>
                          </a:solidFill>
                          <a:latin typeface="Arial" panose="020B0604020202020204" pitchFamily="34" charset="0"/>
                          <a:ea typeface="+mn-ea"/>
                          <a:cs typeface="Arial" panose="020B0604020202020204" pitchFamily="34" charset="0"/>
                        </a:rPr>
                        <a:t>X(a.s.i)       = fraction of active substance [i] in the mixture. Sum of X</a:t>
                      </a:r>
                      <a:r>
                        <a:rPr lang="en-GB" sz="1050" b="0" i="0" u="none" strike="noStrike" baseline="-25000">
                          <a:solidFill>
                            <a:schemeClr val="dk1"/>
                          </a:solidFill>
                          <a:latin typeface="Arial" panose="020B0604020202020204" pitchFamily="34" charset="0"/>
                          <a:ea typeface="+mn-ea"/>
                          <a:cs typeface="Arial" panose="020B0604020202020204" pitchFamily="34" charset="0"/>
                        </a:rPr>
                        <a:t>(a.s.i)</a:t>
                      </a:r>
                      <a:r>
                        <a:rPr lang="en-GB" sz="1050" b="0" i="0" u="none" strike="noStrike" baseline="0">
                          <a:solidFill>
                            <a:schemeClr val="dk1"/>
                          </a:solidFill>
                          <a:latin typeface="Arial" panose="020B0604020202020204" pitchFamily="34" charset="0"/>
                          <a:ea typeface="+mn-ea"/>
                          <a:cs typeface="Arial" panose="020B0604020202020204" pitchFamily="34" charset="0"/>
                        </a:rPr>
                        <a:t> = 1.</a:t>
                      </a:r>
                    </a:p>
                    <a:p>
                      <a:r>
                        <a:rPr lang="en-GB" sz="1050" b="0" i="0" u="none" strike="noStrike" baseline="0">
                          <a:solidFill>
                            <a:schemeClr val="dk1"/>
                          </a:solidFill>
                          <a:latin typeface="Arial" panose="020B0604020202020204" pitchFamily="34" charset="0"/>
                          <a:ea typeface="+mn-ea"/>
                          <a:cs typeface="Arial" panose="020B0604020202020204" pitchFamily="34" charset="0"/>
                        </a:rPr>
                        <a:t>LD</a:t>
                      </a:r>
                      <a:r>
                        <a:rPr lang="en-GB" sz="1050" b="0" i="0" u="none" strike="noStrike" baseline="-25000">
                          <a:solidFill>
                            <a:schemeClr val="dk1"/>
                          </a:solidFill>
                          <a:latin typeface="Arial" panose="020B0604020202020204" pitchFamily="34" charset="0"/>
                          <a:ea typeface="+mn-ea"/>
                          <a:cs typeface="Arial" panose="020B0604020202020204" pitchFamily="34" charset="0"/>
                        </a:rPr>
                        <a:t>50</a:t>
                      </a:r>
                      <a:r>
                        <a:rPr lang="en-GB" sz="1050" b="0" i="0" u="none" strike="noStrike" baseline="0">
                          <a:solidFill>
                            <a:schemeClr val="dk1"/>
                          </a:solidFill>
                          <a:latin typeface="Arial" panose="020B0604020202020204" pitchFamily="34" charset="0"/>
                          <a:ea typeface="+mn-ea"/>
                          <a:cs typeface="Arial" panose="020B0604020202020204" pitchFamily="34" charset="0"/>
                        </a:rPr>
                        <a:t>(a.s.</a:t>
                      </a:r>
                      <a:r>
                        <a:rPr lang="en-GB" sz="1050" b="0" i="0" u="none" strike="noStrike" baseline="-25000">
                          <a:solidFill>
                            <a:schemeClr val="dk1"/>
                          </a:solidFill>
                          <a:latin typeface="Arial" panose="020B0604020202020204" pitchFamily="34" charset="0"/>
                          <a:ea typeface="+mn-ea"/>
                          <a:cs typeface="Arial" panose="020B0604020202020204" pitchFamily="34" charset="0"/>
                        </a:rPr>
                        <a:t>i</a:t>
                      </a:r>
                      <a:r>
                        <a:rPr lang="en-GB" sz="1050" b="0" i="0" u="none" strike="noStrike" baseline="0">
                          <a:solidFill>
                            <a:schemeClr val="dk1"/>
                          </a:solidFill>
                          <a:latin typeface="Arial" panose="020B0604020202020204" pitchFamily="34" charset="0"/>
                          <a:ea typeface="+mn-ea"/>
                          <a:cs typeface="Arial" panose="020B0604020202020204" pitchFamily="34" charset="0"/>
                        </a:rPr>
                        <a:t>)  = acute toxicity value for active substance [i]</a:t>
                      </a:r>
                    </a:p>
                  </xdr:txBody>
                </xdr:sp>
              </mc:Choice>
              <mc:Fallback xmlns="">
                <xdr:sp macro="" textlink="">
                  <xdr:nvSpPr>
                    <xdr:cNvPr id="26" name="TextBox 25">
                      <a:extLst>
                        <a:ext uri="{FF2B5EF4-FFF2-40B4-BE49-F238E27FC236}">
                          <a16:creationId xmlns:a16="http://schemas.microsoft.com/office/drawing/2014/main" id="{E9CEA67C-3001-4E89-B4FD-A99A3D344340}"/>
                        </a:ext>
                      </a:extLst>
                    </xdr:cNvPr>
                    <xdr:cNvSpPr txBox="1"/>
                  </xdr:nvSpPr>
                  <xdr:spPr>
                    <a:xfrm>
                      <a:off x="12471843" y="2661722"/>
                      <a:ext cx="4870575" cy="1437901"/>
                    </a:xfrm>
                    <a:prstGeom prst="rect">
                      <a:avLst/>
                    </a:prstGeom>
                    <a:solidFill>
                      <a:srgbClr val="F3F2E7"/>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en-GB" sz="1050" b="0" i="0" u="none" strike="noStrike" baseline="0">
                          <a:solidFill>
                            <a:schemeClr val="dk1"/>
                          </a:solidFill>
                          <a:latin typeface="Cambria Math" panose="02040503050406030204" pitchFamily="18" charset="0"/>
                          <a:ea typeface="+mn-ea"/>
                          <a:cs typeface="+mn-cs"/>
                        </a:rPr>
                        <a:t>LD_50 (mix)=(∑_i</a:t>
                      </a:r>
                      <a:r>
                        <a:rPr lang="en-GB" sz="1050" b="0" i="0" u="none" strike="noStrike" baseline="0">
                          <a:solidFill>
                            <a:schemeClr val="dk1"/>
                          </a:solidFill>
                          <a:effectLst/>
                          <a:latin typeface="Cambria Math" panose="02040503050406030204" pitchFamily="18" charset="0"/>
                          <a:ea typeface="+mn-ea"/>
                          <a:cs typeface="+mn-cs"/>
                        </a:rPr>
                        <a:t>▒</a:t>
                      </a:r>
                      <a:r>
                        <a:rPr lang="en-GB" sz="1050" b="0" i="0" u="none" strike="noStrike" baseline="0">
                          <a:solidFill>
                            <a:schemeClr val="dk1"/>
                          </a:solidFill>
                          <a:latin typeface="Cambria Math" panose="02040503050406030204" pitchFamily="18" charset="0"/>
                          <a:ea typeface="+mn-ea"/>
                          <a:cs typeface="+mn-cs"/>
                        </a:rPr>
                        <a:t>X_(〖(a.s.〗_i))/</a:t>
                      </a:r>
                      <a:r>
                        <a:rPr lang="en-GB" sz="1050" b="0" i="0" baseline="0">
                          <a:solidFill>
                            <a:schemeClr val="dk1"/>
                          </a:solidFill>
                          <a:effectLst/>
                          <a:latin typeface="Cambria Math" panose="02040503050406030204" pitchFamily="18" charset="0"/>
                          <a:ea typeface="+mn-ea"/>
                          <a:cs typeface="+mn-cs"/>
                        </a:rPr>
                        <a:t>LD_(50〖(a.s.〗_i)) )</a:t>
                      </a:r>
                      <a:r>
                        <a:rPr lang="en-GB" sz="1050" b="0" i="0" u="none" strike="noStrike" baseline="0">
                          <a:solidFill>
                            <a:schemeClr val="dk1"/>
                          </a:solidFill>
                          <a:effectLst/>
                          <a:latin typeface="Cambria Math" panose="02040503050406030204" pitchFamily="18" charset="0"/>
                          <a:ea typeface="+mn-ea"/>
                          <a:cs typeface="+mn-cs"/>
                        </a:rPr>
                        <a:t>^(</a:t>
                      </a:r>
                      <a:r>
                        <a:rPr lang="en-GB" sz="1050" b="0" i="0" u="none" strike="noStrike" baseline="0">
                          <a:solidFill>
                            <a:schemeClr val="dk1"/>
                          </a:solidFill>
                          <a:latin typeface="Cambria Math" panose="02040503050406030204" pitchFamily="18" charset="0"/>
                          <a:ea typeface="+mn-ea"/>
                          <a:cs typeface="+mn-cs"/>
                        </a:rPr>
                        <a:t>−1)</a:t>
                      </a:r>
                      <a:endParaRPr lang="en-GB" sz="1050" b="0" i="0" u="none" strike="noStrike" baseline="0">
                        <a:solidFill>
                          <a:schemeClr val="dk1"/>
                        </a:solidFill>
                        <a:latin typeface="Arial" panose="020B0604020202020204" pitchFamily="34" charset="0"/>
                        <a:ea typeface="+mn-ea"/>
                        <a:cs typeface="Arial" panose="020B0604020202020204" pitchFamily="34" charset="0"/>
                      </a:endParaRPr>
                    </a:p>
                    <a:p>
                      <a:endParaRPr lang="en-GB" sz="1000" b="0" i="0" u="none" strike="noStrike" baseline="0">
                        <a:solidFill>
                          <a:schemeClr val="dk1"/>
                        </a:solidFill>
                        <a:latin typeface="Arial" panose="020B0604020202020204" pitchFamily="34" charset="0"/>
                        <a:ea typeface="+mn-ea"/>
                        <a:cs typeface="Arial" panose="020B0604020202020204" pitchFamily="34" charset="0"/>
                      </a:endParaRPr>
                    </a:p>
                    <a:p>
                      <a:r>
                        <a:rPr lang="en-GB" sz="1050" b="0" i="0" u="none" strike="noStrike" baseline="0">
                          <a:solidFill>
                            <a:schemeClr val="dk1"/>
                          </a:solidFill>
                          <a:latin typeface="Arial" panose="020B0604020202020204" pitchFamily="34" charset="0"/>
                          <a:ea typeface="+mn-ea"/>
                          <a:cs typeface="Arial" panose="020B0604020202020204" pitchFamily="34" charset="0"/>
                        </a:rPr>
                        <a:t>With:</a:t>
                      </a:r>
                    </a:p>
                    <a:p>
                      <a:r>
                        <a:rPr lang="en-GB" sz="1050" b="0" i="0" u="none" strike="noStrike" baseline="0">
                          <a:solidFill>
                            <a:schemeClr val="dk1"/>
                          </a:solidFill>
                          <a:latin typeface="Arial" panose="020B0604020202020204" pitchFamily="34" charset="0"/>
                          <a:ea typeface="+mn-ea"/>
                          <a:cs typeface="Arial" panose="020B0604020202020204" pitchFamily="34" charset="0"/>
                        </a:rPr>
                        <a:t>X(a.s.i)       = fraction of active substance [i] in the mixture. Sum of X</a:t>
                      </a:r>
                      <a:r>
                        <a:rPr lang="en-GB" sz="1050" b="0" i="0" u="none" strike="noStrike" baseline="-25000">
                          <a:solidFill>
                            <a:schemeClr val="dk1"/>
                          </a:solidFill>
                          <a:latin typeface="Arial" panose="020B0604020202020204" pitchFamily="34" charset="0"/>
                          <a:ea typeface="+mn-ea"/>
                          <a:cs typeface="Arial" panose="020B0604020202020204" pitchFamily="34" charset="0"/>
                        </a:rPr>
                        <a:t>(a.s.i)</a:t>
                      </a:r>
                      <a:r>
                        <a:rPr lang="en-GB" sz="1050" b="0" i="0" u="none" strike="noStrike" baseline="0">
                          <a:solidFill>
                            <a:schemeClr val="dk1"/>
                          </a:solidFill>
                          <a:latin typeface="Arial" panose="020B0604020202020204" pitchFamily="34" charset="0"/>
                          <a:ea typeface="+mn-ea"/>
                          <a:cs typeface="Arial" panose="020B0604020202020204" pitchFamily="34" charset="0"/>
                        </a:rPr>
                        <a:t> = 1.</a:t>
                      </a:r>
                    </a:p>
                    <a:p>
                      <a:r>
                        <a:rPr lang="en-GB" sz="1050" b="0" i="0" u="none" strike="noStrike" baseline="0">
                          <a:solidFill>
                            <a:schemeClr val="dk1"/>
                          </a:solidFill>
                          <a:latin typeface="Arial" panose="020B0604020202020204" pitchFamily="34" charset="0"/>
                          <a:ea typeface="+mn-ea"/>
                          <a:cs typeface="Arial" panose="020B0604020202020204" pitchFamily="34" charset="0"/>
                        </a:rPr>
                        <a:t>LD</a:t>
                      </a:r>
                      <a:r>
                        <a:rPr lang="en-GB" sz="1050" b="0" i="0" u="none" strike="noStrike" baseline="-25000">
                          <a:solidFill>
                            <a:schemeClr val="dk1"/>
                          </a:solidFill>
                          <a:latin typeface="Arial" panose="020B0604020202020204" pitchFamily="34" charset="0"/>
                          <a:ea typeface="+mn-ea"/>
                          <a:cs typeface="Arial" panose="020B0604020202020204" pitchFamily="34" charset="0"/>
                        </a:rPr>
                        <a:t>50</a:t>
                      </a:r>
                      <a:r>
                        <a:rPr lang="en-GB" sz="1050" b="0" i="0" u="none" strike="noStrike" baseline="0">
                          <a:solidFill>
                            <a:schemeClr val="dk1"/>
                          </a:solidFill>
                          <a:latin typeface="Arial" panose="020B0604020202020204" pitchFamily="34" charset="0"/>
                          <a:ea typeface="+mn-ea"/>
                          <a:cs typeface="Arial" panose="020B0604020202020204" pitchFamily="34" charset="0"/>
                        </a:rPr>
                        <a:t>(a.s.</a:t>
                      </a:r>
                      <a:r>
                        <a:rPr lang="en-GB" sz="1050" b="0" i="0" u="none" strike="noStrike" baseline="-25000">
                          <a:solidFill>
                            <a:schemeClr val="dk1"/>
                          </a:solidFill>
                          <a:latin typeface="Arial" panose="020B0604020202020204" pitchFamily="34" charset="0"/>
                          <a:ea typeface="+mn-ea"/>
                          <a:cs typeface="Arial" panose="020B0604020202020204" pitchFamily="34" charset="0"/>
                        </a:rPr>
                        <a:t>i</a:t>
                      </a:r>
                      <a:r>
                        <a:rPr lang="en-GB" sz="1050" b="0" i="0" u="none" strike="noStrike" baseline="0">
                          <a:solidFill>
                            <a:schemeClr val="dk1"/>
                          </a:solidFill>
                          <a:latin typeface="Arial" panose="020B0604020202020204" pitchFamily="34" charset="0"/>
                          <a:ea typeface="+mn-ea"/>
                          <a:cs typeface="Arial" panose="020B0604020202020204" pitchFamily="34" charset="0"/>
                        </a:rPr>
                        <a:t>)  = acute toxicity value for active substance [i]</a:t>
                      </a:r>
                    </a:p>
                  </xdr:txBody>
                </xdr:sp>
              </mc:Fallback>
            </mc:AlternateContent>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4D13E015-FF94-47C6-AB84-7695EDA21B9E}"/>
                        </a:ext>
                      </a:extLst>
                    </xdr:cNvPr>
                    <xdr:cNvSpPr txBox="1"/>
                  </xdr:nvSpPr>
                  <xdr:spPr>
                    <a:xfrm>
                      <a:off x="12471843" y="4194123"/>
                      <a:ext cx="4870575" cy="1569172"/>
                    </a:xfrm>
                    <a:prstGeom prst="rect">
                      <a:avLst/>
                    </a:prstGeom>
                    <a:solidFill>
                      <a:srgbClr val="F3F2E7"/>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left"/>
                          </m:oMathParaPr>
                          <m:oMath xmlns:m="http://schemas.openxmlformats.org/officeDocument/2006/math">
                            <m:r>
                              <m:rPr>
                                <m:sty m:val="p"/>
                              </m:rPr>
                              <a:rPr lang="fi-FI" sz="1200" b="0" i="0" u="none" strike="noStrike" baseline="0" smtClean="0">
                                <a:solidFill>
                                  <a:schemeClr val="dk1"/>
                                </a:solidFill>
                                <a:latin typeface="Cambria Math" panose="02040503050406030204" pitchFamily="18" charset="0"/>
                                <a:ea typeface="+mn-ea"/>
                                <a:cs typeface="+mn-cs"/>
                              </a:rPr>
                              <m:t>tox</m:t>
                            </m:r>
                            <m:r>
                              <a:rPr lang="fi-FI" sz="1200" b="0" i="0" u="none" strike="noStrike" baseline="0" smtClean="0">
                                <a:solidFill>
                                  <a:schemeClr val="dk1"/>
                                </a:solidFill>
                                <a:latin typeface="Cambria Math" panose="02040503050406030204" pitchFamily="18" charset="0"/>
                                <a:ea typeface="+mn-ea"/>
                                <a:cs typeface="+mn-cs"/>
                              </a:rPr>
                              <m:t> </m:t>
                            </m:r>
                            <m:r>
                              <m:rPr>
                                <m:sty m:val="p"/>
                              </m:rPr>
                              <a:rPr lang="fi-FI" sz="1200" b="0" i="0" u="none" strike="noStrike" baseline="0" smtClean="0">
                                <a:solidFill>
                                  <a:schemeClr val="dk1"/>
                                </a:solidFill>
                                <a:latin typeface="Cambria Math" panose="02040503050406030204" pitchFamily="18" charset="0"/>
                                <a:ea typeface="+mn-ea"/>
                                <a:cs typeface="+mn-cs"/>
                              </a:rPr>
                              <m:t>per</m:t>
                            </m:r>
                            <m:r>
                              <a:rPr lang="fi-FI" sz="1200" b="0" i="0" u="none" strike="noStrike" baseline="0" smtClean="0">
                                <a:solidFill>
                                  <a:schemeClr val="dk1"/>
                                </a:solidFill>
                                <a:latin typeface="Cambria Math" panose="02040503050406030204" pitchFamily="18" charset="0"/>
                                <a:ea typeface="+mn-ea"/>
                                <a:cs typeface="+mn-cs"/>
                              </a:rPr>
                              <m:t> </m:t>
                            </m:r>
                            <m:r>
                              <m:rPr>
                                <m:sty m:val="p"/>
                              </m:rPr>
                              <a:rPr lang="fi-FI" sz="1200" b="0" i="0" u="none" strike="noStrike" baseline="0" smtClean="0">
                                <a:solidFill>
                                  <a:schemeClr val="dk1"/>
                                </a:solidFill>
                                <a:latin typeface="Cambria Math" panose="02040503050406030204" pitchFamily="18" charset="0"/>
                                <a:ea typeface="+mn-ea"/>
                                <a:cs typeface="+mn-cs"/>
                              </a:rPr>
                              <m:t>fraction</m:t>
                            </m:r>
                            <m:r>
                              <a:rPr lang="fi-FI" sz="1200" b="0" i="0" u="none" strike="noStrike" baseline="0" smtClean="0">
                                <a:solidFill>
                                  <a:schemeClr val="dk1"/>
                                </a:solidFill>
                                <a:latin typeface="Cambria Math" panose="02040503050406030204" pitchFamily="18" charset="0"/>
                                <a:ea typeface="+mn-ea"/>
                                <a:cs typeface="+mn-cs"/>
                              </a:rPr>
                              <m:t> (</m:t>
                            </m:r>
                            <m:r>
                              <m:rPr>
                                <m:sty m:val="p"/>
                              </m:rPr>
                              <a:rPr lang="fi-FI" sz="1200" b="0" i="0" u="none" strike="noStrike" baseline="0" smtClean="0">
                                <a:solidFill>
                                  <a:schemeClr val="dk1"/>
                                </a:solidFill>
                                <a:latin typeface="Cambria Math" panose="02040503050406030204" pitchFamily="18" charset="0"/>
                                <a:ea typeface="+mn-ea"/>
                                <a:cs typeface="+mn-cs"/>
                              </a:rPr>
                              <m:t>a</m:t>
                            </m:r>
                            <m:r>
                              <a:rPr lang="fi-FI" sz="1200" b="0" i="0" u="none" strike="noStrike" baseline="0" smtClean="0">
                                <a:solidFill>
                                  <a:schemeClr val="dk1"/>
                                </a:solidFill>
                                <a:latin typeface="Cambria Math" panose="02040503050406030204" pitchFamily="18" charset="0"/>
                                <a:ea typeface="+mn-ea"/>
                                <a:cs typeface="+mn-cs"/>
                              </a:rPr>
                              <m:t>.</m:t>
                            </m:r>
                            <m:r>
                              <m:rPr>
                                <m:sty m:val="p"/>
                              </m:rPr>
                              <a:rPr lang="fi-FI" sz="1200" b="0" i="0" u="none" strike="noStrike" baseline="0" smtClean="0">
                                <a:solidFill>
                                  <a:schemeClr val="dk1"/>
                                </a:solidFill>
                                <a:latin typeface="Cambria Math" panose="02040503050406030204" pitchFamily="18" charset="0"/>
                                <a:ea typeface="+mn-ea"/>
                                <a:cs typeface="+mn-cs"/>
                              </a:rPr>
                              <m:t>s</m:t>
                            </m:r>
                            <m:r>
                              <a:rPr lang="fi-FI" sz="1200" b="0" i="0" u="none" strike="noStrike" baseline="0" smtClean="0">
                                <a:solidFill>
                                  <a:schemeClr val="dk1"/>
                                </a:solidFill>
                                <a:latin typeface="Cambria Math" panose="02040503050406030204" pitchFamily="18" charset="0"/>
                                <a:ea typeface="+mn-ea"/>
                                <a:cs typeface="+mn-cs"/>
                              </a:rPr>
                              <m:t>.)=</m:t>
                            </m:r>
                            <m:f>
                              <m:fPr>
                                <m:ctrlPr>
                                  <a:rPr lang="fi-FI" sz="1200" b="0" i="1" u="none" strike="noStrike" baseline="0" smtClean="0">
                                    <a:solidFill>
                                      <a:schemeClr val="dk1"/>
                                    </a:solidFill>
                                    <a:latin typeface="Cambria Math" panose="02040503050406030204" pitchFamily="18" charset="0"/>
                                    <a:ea typeface="+mn-ea"/>
                                    <a:cs typeface="+mn-cs"/>
                                  </a:rPr>
                                </m:ctrlPr>
                              </m:fPr>
                              <m:num>
                                <m:sSub>
                                  <m:sSubPr>
                                    <m:ctrlPr>
                                      <a:rPr lang="fi-FI" sz="1200" b="0" i="1" u="none" strike="noStrike" baseline="0" smtClean="0">
                                        <a:solidFill>
                                          <a:schemeClr val="dk1"/>
                                        </a:solidFill>
                                        <a:latin typeface="Cambria Math" panose="02040503050406030204" pitchFamily="18" charset="0"/>
                                        <a:ea typeface="+mn-ea"/>
                                        <a:cs typeface="+mn-cs"/>
                                      </a:rPr>
                                    </m:ctrlPr>
                                  </m:sSubPr>
                                  <m:e>
                                    <m:r>
                                      <m:rPr>
                                        <m:sty m:val="p"/>
                                      </m:rPr>
                                      <a:rPr lang="fi-FI" sz="1200" b="0" i="0" u="none" strike="noStrike" baseline="0" smtClean="0">
                                        <a:solidFill>
                                          <a:schemeClr val="dk1"/>
                                        </a:solidFill>
                                        <a:latin typeface="Cambria Math" panose="02040503050406030204" pitchFamily="18" charset="0"/>
                                        <a:ea typeface="+mn-ea"/>
                                        <a:cs typeface="+mn-cs"/>
                                      </a:rPr>
                                      <m:t>LD</m:t>
                                    </m:r>
                                  </m:e>
                                  <m:sub>
                                    <m:r>
                                      <a:rPr lang="fi-FI" sz="1200" b="0" i="0" u="none" strike="noStrike" baseline="0" smtClean="0">
                                        <a:solidFill>
                                          <a:schemeClr val="dk1"/>
                                        </a:solidFill>
                                        <a:latin typeface="Cambria Math" panose="02040503050406030204" pitchFamily="18" charset="0"/>
                                        <a:ea typeface="+mn-ea"/>
                                        <a:cs typeface="+mn-cs"/>
                                      </a:rPr>
                                      <m:t>50</m:t>
                                    </m:r>
                                    <m:sSub>
                                      <m:sSubPr>
                                        <m:ctrlPr>
                                          <a:rPr lang="fi-FI" sz="1200" b="0" i="1" u="none" strike="noStrike" baseline="0" smtClean="0">
                                            <a:solidFill>
                                              <a:schemeClr val="dk1"/>
                                            </a:solidFill>
                                            <a:latin typeface="Cambria Math" panose="02040503050406030204" pitchFamily="18" charset="0"/>
                                            <a:ea typeface="+mn-ea"/>
                                            <a:cs typeface="+mn-cs"/>
                                          </a:rPr>
                                        </m:ctrlPr>
                                      </m:sSubPr>
                                      <m:e>
                                        <m:r>
                                          <a:rPr lang="fi-FI" sz="1200" b="0" i="0" u="none" strike="noStrike" baseline="0" smtClean="0">
                                            <a:solidFill>
                                              <a:schemeClr val="dk1"/>
                                            </a:solidFill>
                                            <a:latin typeface="Cambria Math" panose="02040503050406030204" pitchFamily="18" charset="0"/>
                                            <a:ea typeface="+mn-ea"/>
                                            <a:cs typeface="+mn-cs"/>
                                          </a:rPr>
                                          <m:t>(</m:t>
                                        </m:r>
                                        <m:r>
                                          <m:rPr>
                                            <m:sty m:val="p"/>
                                          </m:rPr>
                                          <a:rPr lang="fi-FI" sz="1200" b="0" i="0" u="none" strike="noStrike" baseline="0" smtClean="0">
                                            <a:solidFill>
                                              <a:schemeClr val="dk1"/>
                                            </a:solidFill>
                                            <a:latin typeface="Cambria Math" panose="02040503050406030204" pitchFamily="18" charset="0"/>
                                            <a:ea typeface="+mn-ea"/>
                                            <a:cs typeface="+mn-cs"/>
                                          </a:rPr>
                                          <m:t>a</m:t>
                                        </m:r>
                                        <m:r>
                                          <a:rPr lang="fi-FI" sz="1200" b="0" i="0" u="none" strike="noStrike" baseline="0" smtClean="0">
                                            <a:solidFill>
                                              <a:schemeClr val="dk1"/>
                                            </a:solidFill>
                                            <a:latin typeface="Cambria Math" panose="02040503050406030204" pitchFamily="18" charset="0"/>
                                            <a:ea typeface="+mn-ea"/>
                                            <a:cs typeface="+mn-cs"/>
                                          </a:rPr>
                                          <m:t>.</m:t>
                                        </m:r>
                                        <m:r>
                                          <m:rPr>
                                            <m:sty m:val="p"/>
                                          </m:rPr>
                                          <a:rPr lang="fi-FI" sz="1200" b="0" i="0" u="none" strike="noStrike" baseline="0" smtClean="0">
                                            <a:solidFill>
                                              <a:schemeClr val="dk1"/>
                                            </a:solidFill>
                                            <a:latin typeface="Cambria Math" panose="02040503050406030204" pitchFamily="18" charset="0"/>
                                            <a:ea typeface="+mn-ea"/>
                                            <a:cs typeface="+mn-cs"/>
                                          </a:rPr>
                                          <m:t>s</m:t>
                                        </m:r>
                                        <m:r>
                                          <a:rPr lang="fi-FI" sz="1200" b="0" i="0" u="none" strike="noStrike" baseline="0" smtClean="0">
                                            <a:solidFill>
                                              <a:schemeClr val="dk1"/>
                                            </a:solidFill>
                                            <a:latin typeface="Cambria Math" panose="02040503050406030204" pitchFamily="18" charset="0"/>
                                            <a:ea typeface="+mn-ea"/>
                                            <a:cs typeface="+mn-cs"/>
                                          </a:rPr>
                                          <m:t>.</m:t>
                                        </m:r>
                                      </m:e>
                                      <m:sub>
                                        <m:r>
                                          <m:rPr>
                                            <m:sty m:val="p"/>
                                          </m:rPr>
                                          <a:rPr lang="fi-FI" sz="1200" b="0" i="0" u="none" strike="noStrike" baseline="0" smtClean="0">
                                            <a:solidFill>
                                              <a:schemeClr val="dk1"/>
                                            </a:solidFill>
                                            <a:latin typeface="Cambria Math" panose="02040503050406030204" pitchFamily="18" charset="0"/>
                                            <a:ea typeface="+mn-ea"/>
                                            <a:cs typeface="+mn-cs"/>
                                          </a:rPr>
                                          <m:t>i</m:t>
                                        </m:r>
                                      </m:sub>
                                    </m:sSub>
                                    <m:r>
                                      <a:rPr lang="fi-FI" sz="1200" b="0" i="0" u="none" strike="noStrike" baseline="0" smtClean="0">
                                        <a:solidFill>
                                          <a:schemeClr val="dk1"/>
                                        </a:solidFill>
                                        <a:latin typeface="Cambria Math" panose="02040503050406030204" pitchFamily="18" charset="0"/>
                                        <a:ea typeface="+mn-ea"/>
                                        <a:cs typeface="+mn-cs"/>
                                      </a:rPr>
                                      <m:t>)</m:t>
                                    </m:r>
                                  </m:sub>
                                </m:sSub>
                              </m:num>
                              <m:den>
                                <m:sSub>
                                  <m:sSubPr>
                                    <m:ctrlPr>
                                      <a:rPr lang="fi-FI" sz="1200" b="0" i="1" baseline="0">
                                        <a:solidFill>
                                          <a:schemeClr val="dk1"/>
                                        </a:solidFill>
                                        <a:effectLst/>
                                        <a:latin typeface="Cambria Math" panose="02040503050406030204" pitchFamily="18" charset="0"/>
                                        <a:ea typeface="+mn-ea"/>
                                        <a:cs typeface="+mn-cs"/>
                                      </a:rPr>
                                    </m:ctrlPr>
                                  </m:sSubPr>
                                  <m:e>
                                    <m:r>
                                      <m:rPr>
                                        <m:sty m:val="p"/>
                                      </m:rPr>
                                      <a:rPr lang="fi-FI" sz="1200" b="0" i="0" baseline="0">
                                        <a:solidFill>
                                          <a:schemeClr val="dk1"/>
                                        </a:solidFill>
                                        <a:effectLst/>
                                        <a:latin typeface="Cambria Math" panose="02040503050406030204" pitchFamily="18" charset="0"/>
                                        <a:ea typeface="+mn-ea"/>
                                        <a:cs typeface="+mn-cs"/>
                                      </a:rPr>
                                      <m:t>X</m:t>
                                    </m:r>
                                  </m:e>
                                  <m:sub>
                                    <m:sSub>
                                      <m:sSubPr>
                                        <m:ctrlPr>
                                          <a:rPr lang="fi-FI" sz="1200" b="0" i="1" baseline="0">
                                            <a:solidFill>
                                              <a:schemeClr val="dk1"/>
                                            </a:solidFill>
                                            <a:effectLst/>
                                            <a:latin typeface="Cambria Math" panose="02040503050406030204" pitchFamily="18" charset="0"/>
                                            <a:ea typeface="+mn-ea"/>
                                            <a:cs typeface="+mn-cs"/>
                                          </a:rPr>
                                        </m:ctrlPr>
                                      </m:sSubPr>
                                      <m:e>
                                        <m:r>
                                          <a:rPr lang="fi-FI" sz="1200" b="0" i="0" baseline="0">
                                            <a:solidFill>
                                              <a:schemeClr val="dk1"/>
                                            </a:solidFill>
                                            <a:effectLst/>
                                            <a:latin typeface="Cambria Math" panose="02040503050406030204" pitchFamily="18" charset="0"/>
                                            <a:ea typeface="+mn-ea"/>
                                            <a:cs typeface="+mn-cs"/>
                                          </a:rPr>
                                          <m:t>(</m:t>
                                        </m:r>
                                        <m:r>
                                          <m:rPr>
                                            <m:sty m:val="p"/>
                                          </m:rPr>
                                          <a:rPr lang="fi-FI" sz="1200" b="0" i="0" baseline="0">
                                            <a:solidFill>
                                              <a:schemeClr val="dk1"/>
                                            </a:solidFill>
                                            <a:effectLst/>
                                            <a:latin typeface="Cambria Math" panose="02040503050406030204" pitchFamily="18" charset="0"/>
                                            <a:ea typeface="+mn-ea"/>
                                            <a:cs typeface="+mn-cs"/>
                                          </a:rPr>
                                          <m:t>a</m:t>
                                        </m:r>
                                        <m:r>
                                          <a:rPr lang="fi-FI" sz="1200" b="0" i="0" baseline="0">
                                            <a:solidFill>
                                              <a:schemeClr val="dk1"/>
                                            </a:solidFill>
                                            <a:effectLst/>
                                            <a:latin typeface="Cambria Math" panose="02040503050406030204" pitchFamily="18" charset="0"/>
                                            <a:ea typeface="+mn-ea"/>
                                            <a:cs typeface="+mn-cs"/>
                                          </a:rPr>
                                          <m:t>.</m:t>
                                        </m:r>
                                        <m:r>
                                          <m:rPr>
                                            <m:sty m:val="p"/>
                                          </m:rPr>
                                          <a:rPr lang="fi-FI" sz="1200" b="0" i="0" baseline="0">
                                            <a:solidFill>
                                              <a:schemeClr val="dk1"/>
                                            </a:solidFill>
                                            <a:effectLst/>
                                            <a:latin typeface="Cambria Math" panose="02040503050406030204" pitchFamily="18" charset="0"/>
                                            <a:ea typeface="+mn-ea"/>
                                            <a:cs typeface="+mn-cs"/>
                                          </a:rPr>
                                          <m:t>s</m:t>
                                        </m:r>
                                        <m:r>
                                          <a:rPr lang="fi-FI" sz="1200" b="0" i="0" baseline="0">
                                            <a:solidFill>
                                              <a:schemeClr val="dk1"/>
                                            </a:solidFill>
                                            <a:effectLst/>
                                            <a:latin typeface="Cambria Math" panose="02040503050406030204" pitchFamily="18" charset="0"/>
                                            <a:ea typeface="+mn-ea"/>
                                            <a:cs typeface="+mn-cs"/>
                                          </a:rPr>
                                          <m:t>.</m:t>
                                        </m:r>
                                      </m:e>
                                      <m:sub>
                                        <m:r>
                                          <m:rPr>
                                            <m:sty m:val="p"/>
                                          </m:rPr>
                                          <a:rPr lang="fi-FI" sz="1200" b="0" i="0" baseline="0">
                                            <a:solidFill>
                                              <a:schemeClr val="dk1"/>
                                            </a:solidFill>
                                            <a:effectLst/>
                                            <a:latin typeface="Cambria Math" panose="02040503050406030204" pitchFamily="18" charset="0"/>
                                            <a:ea typeface="+mn-ea"/>
                                            <a:cs typeface="+mn-cs"/>
                                          </a:rPr>
                                          <m:t>i</m:t>
                                        </m:r>
                                      </m:sub>
                                    </m:sSub>
                                    <m:r>
                                      <a:rPr lang="fi-FI" sz="1200" b="0" i="0" baseline="0">
                                        <a:solidFill>
                                          <a:schemeClr val="dk1"/>
                                        </a:solidFill>
                                        <a:effectLst/>
                                        <a:latin typeface="Cambria Math" panose="02040503050406030204" pitchFamily="18" charset="0"/>
                                        <a:ea typeface="+mn-ea"/>
                                        <a:cs typeface="+mn-cs"/>
                                      </a:rPr>
                                      <m:t>)</m:t>
                                    </m:r>
                                  </m:sub>
                                </m:sSub>
                              </m:den>
                            </m:f>
                          </m:oMath>
                        </m:oMathPara>
                      </a14:m>
                      <a:endParaRPr lang="en-GB" sz="1200" b="0" i="0" u="none" strike="noStrike" baseline="0">
                        <a:solidFill>
                          <a:schemeClr val="dk1"/>
                        </a:solidFill>
                        <a:latin typeface="+mn-lt"/>
                        <a:ea typeface="+mn-ea"/>
                        <a:cs typeface="+mn-cs"/>
                      </a:endParaRPr>
                    </a:p>
                    <a:p>
                      <a:endParaRPr lang="en-GB" sz="12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sty m:val="p"/>
                              </m:rPr>
                              <a:rPr lang="fi-FI" sz="1200" b="0" i="0" baseline="0">
                                <a:solidFill>
                                  <a:schemeClr val="dk1"/>
                                </a:solidFill>
                                <a:effectLst/>
                                <a:latin typeface="Cambria Math" panose="02040503050406030204" pitchFamily="18" charset="0"/>
                                <a:ea typeface="+mn-ea"/>
                                <a:cs typeface="+mn-cs"/>
                              </a:rPr>
                              <m:t>tox</m:t>
                            </m:r>
                            <m:r>
                              <a:rPr lang="fi-FI" sz="1200" b="0" i="0" baseline="0">
                                <a:solidFill>
                                  <a:schemeClr val="dk1"/>
                                </a:solidFill>
                                <a:effectLst/>
                                <a:latin typeface="Cambria Math" panose="02040503050406030204" pitchFamily="18" charset="0"/>
                                <a:ea typeface="+mn-ea"/>
                                <a:cs typeface="+mn-cs"/>
                              </a:rPr>
                              <m:t> </m:t>
                            </m:r>
                            <m:r>
                              <m:rPr>
                                <m:sty m:val="p"/>
                              </m:rPr>
                              <a:rPr lang="fi-FI" sz="1200" b="0" i="0" baseline="0">
                                <a:solidFill>
                                  <a:schemeClr val="dk1"/>
                                </a:solidFill>
                                <a:effectLst/>
                                <a:latin typeface="Cambria Math" panose="02040503050406030204" pitchFamily="18" charset="0"/>
                                <a:ea typeface="+mn-ea"/>
                                <a:cs typeface="+mn-cs"/>
                              </a:rPr>
                              <m:t>per</m:t>
                            </m:r>
                            <m:r>
                              <a:rPr lang="fi-FI" sz="1200" b="0" i="0" baseline="0">
                                <a:solidFill>
                                  <a:schemeClr val="dk1"/>
                                </a:solidFill>
                                <a:effectLst/>
                                <a:latin typeface="Cambria Math" panose="02040503050406030204" pitchFamily="18" charset="0"/>
                                <a:ea typeface="+mn-ea"/>
                                <a:cs typeface="+mn-cs"/>
                              </a:rPr>
                              <m:t> </m:t>
                            </m:r>
                            <m:r>
                              <m:rPr>
                                <m:sty m:val="p"/>
                              </m:rPr>
                              <a:rPr lang="fi-FI" sz="1200" b="0" i="0" baseline="0">
                                <a:solidFill>
                                  <a:schemeClr val="dk1"/>
                                </a:solidFill>
                                <a:effectLst/>
                                <a:latin typeface="Cambria Math" panose="02040503050406030204" pitchFamily="18" charset="0"/>
                                <a:ea typeface="+mn-ea"/>
                                <a:cs typeface="+mn-cs"/>
                              </a:rPr>
                              <m:t>fraction</m:t>
                            </m:r>
                            <m:r>
                              <a:rPr lang="fi-FI" sz="1200" b="0" i="0" baseline="0">
                                <a:solidFill>
                                  <a:schemeClr val="dk1"/>
                                </a:solidFill>
                                <a:effectLst/>
                                <a:latin typeface="Cambria Math" panose="02040503050406030204" pitchFamily="18" charset="0"/>
                                <a:ea typeface="+mn-ea"/>
                                <a:cs typeface="+mn-cs"/>
                              </a:rPr>
                              <m:t> </m:t>
                            </m:r>
                            <m:d>
                              <m:dPr>
                                <m:ctrlPr>
                                  <a:rPr lang="fi-FI" sz="1200" b="0" i="1" baseline="0">
                                    <a:solidFill>
                                      <a:schemeClr val="dk1"/>
                                    </a:solidFill>
                                    <a:effectLst/>
                                    <a:latin typeface="Cambria Math" panose="02040503050406030204" pitchFamily="18" charset="0"/>
                                    <a:ea typeface="+mn-ea"/>
                                    <a:cs typeface="+mn-cs"/>
                                  </a:rPr>
                                </m:ctrlPr>
                              </m:dPr>
                              <m:e>
                                <m:r>
                                  <m:rPr>
                                    <m:sty m:val="p"/>
                                  </m:rPr>
                                  <a:rPr lang="fi-FI" sz="1200" b="0" i="0" baseline="0">
                                    <a:solidFill>
                                      <a:schemeClr val="dk1"/>
                                    </a:solidFill>
                                    <a:effectLst/>
                                    <a:latin typeface="Cambria Math" panose="02040503050406030204" pitchFamily="18" charset="0"/>
                                    <a:ea typeface="+mn-ea"/>
                                    <a:cs typeface="+mn-cs"/>
                                  </a:rPr>
                                  <m:t>mix</m:t>
                                </m:r>
                              </m:e>
                            </m:d>
                            <m:r>
                              <a:rPr lang="fi-FI" sz="1200" b="0" i="0" baseline="0">
                                <a:solidFill>
                                  <a:schemeClr val="dk1"/>
                                </a:solidFill>
                                <a:effectLst/>
                                <a:latin typeface="Cambria Math" panose="02040503050406030204" pitchFamily="18" charset="0"/>
                                <a:ea typeface="+mn-ea"/>
                                <a:cs typeface="+mn-cs"/>
                              </a:rPr>
                              <m:t>=</m:t>
                            </m:r>
                            <m:f>
                              <m:fPr>
                                <m:ctrlPr>
                                  <a:rPr lang="fi-FI" sz="1200" b="0" i="1" baseline="0">
                                    <a:solidFill>
                                      <a:schemeClr val="dk1"/>
                                    </a:solidFill>
                                    <a:effectLst/>
                                    <a:latin typeface="Cambria Math" panose="02040503050406030204" pitchFamily="18" charset="0"/>
                                    <a:ea typeface="+mn-ea"/>
                                    <a:cs typeface="+mn-cs"/>
                                  </a:rPr>
                                </m:ctrlPr>
                              </m:fPr>
                              <m:num>
                                <m:sSub>
                                  <m:sSubPr>
                                    <m:ctrlPr>
                                      <a:rPr lang="fi-FI" sz="1200" b="0" i="1" baseline="0">
                                        <a:solidFill>
                                          <a:schemeClr val="dk1"/>
                                        </a:solidFill>
                                        <a:effectLst/>
                                        <a:latin typeface="Cambria Math" panose="02040503050406030204" pitchFamily="18" charset="0"/>
                                        <a:ea typeface="+mn-ea"/>
                                        <a:cs typeface="+mn-cs"/>
                                      </a:rPr>
                                    </m:ctrlPr>
                                  </m:sSubPr>
                                  <m:e>
                                    <m:r>
                                      <m:rPr>
                                        <m:sty m:val="p"/>
                                      </m:rPr>
                                      <a:rPr lang="fi-FI" sz="1200" b="0" i="0" baseline="0">
                                        <a:solidFill>
                                          <a:schemeClr val="dk1"/>
                                        </a:solidFill>
                                        <a:effectLst/>
                                        <a:latin typeface="Cambria Math" panose="02040503050406030204" pitchFamily="18" charset="0"/>
                                        <a:ea typeface="+mn-ea"/>
                                        <a:cs typeface="+mn-cs"/>
                                      </a:rPr>
                                      <m:t>LD</m:t>
                                    </m:r>
                                  </m:e>
                                  <m:sub>
                                    <m:r>
                                      <a:rPr lang="fi-FI" sz="1200" b="0" i="0" baseline="0">
                                        <a:solidFill>
                                          <a:schemeClr val="dk1"/>
                                        </a:solidFill>
                                        <a:effectLst/>
                                        <a:latin typeface="Cambria Math" panose="02040503050406030204" pitchFamily="18" charset="0"/>
                                        <a:ea typeface="+mn-ea"/>
                                        <a:cs typeface="+mn-cs"/>
                                      </a:rPr>
                                      <m:t>50(</m:t>
                                    </m:r>
                                    <m:r>
                                      <m:rPr>
                                        <m:sty m:val="p"/>
                                      </m:rPr>
                                      <a:rPr lang="fi-FI" sz="1200" b="0" i="0" baseline="0">
                                        <a:solidFill>
                                          <a:schemeClr val="dk1"/>
                                        </a:solidFill>
                                        <a:effectLst/>
                                        <a:latin typeface="Cambria Math" panose="02040503050406030204" pitchFamily="18" charset="0"/>
                                        <a:ea typeface="+mn-ea"/>
                                        <a:cs typeface="+mn-cs"/>
                                      </a:rPr>
                                      <m:t>mix</m:t>
                                    </m:r>
                                    <m:r>
                                      <a:rPr lang="fi-FI" sz="1200" b="0" i="0" baseline="0">
                                        <a:solidFill>
                                          <a:schemeClr val="dk1"/>
                                        </a:solidFill>
                                        <a:effectLst/>
                                        <a:latin typeface="Cambria Math" panose="02040503050406030204" pitchFamily="18" charset="0"/>
                                        <a:ea typeface="+mn-ea"/>
                                        <a:cs typeface="+mn-cs"/>
                                      </a:rPr>
                                      <m:t>)</m:t>
                                    </m:r>
                                  </m:sub>
                                </m:sSub>
                              </m:num>
                              <m:den>
                                <m:sSub>
                                  <m:sSubPr>
                                    <m:ctrlPr>
                                      <a:rPr lang="fi-FI" sz="1200" b="0" i="1" baseline="0">
                                        <a:solidFill>
                                          <a:schemeClr val="dk1"/>
                                        </a:solidFill>
                                        <a:effectLst/>
                                        <a:latin typeface="Cambria Math" panose="02040503050406030204" pitchFamily="18" charset="0"/>
                                        <a:ea typeface="+mn-ea"/>
                                        <a:cs typeface="+mn-cs"/>
                                      </a:rPr>
                                    </m:ctrlPr>
                                  </m:sSubPr>
                                  <m:e>
                                    <m:nary>
                                      <m:naryPr>
                                        <m:chr m:val="∑"/>
                                        <m:subHide m:val="on"/>
                                        <m:supHide m:val="on"/>
                                        <m:ctrlPr>
                                          <a:rPr lang="fi-FI" sz="1200" b="0" i="1" baseline="0">
                                            <a:solidFill>
                                              <a:schemeClr val="dk1"/>
                                            </a:solidFill>
                                            <a:effectLst/>
                                            <a:latin typeface="Cambria Math" panose="02040503050406030204" pitchFamily="18" charset="0"/>
                                            <a:ea typeface="+mn-ea"/>
                                            <a:cs typeface="+mn-cs"/>
                                          </a:rPr>
                                        </m:ctrlPr>
                                      </m:naryPr>
                                      <m:sub/>
                                      <m:sup/>
                                      <m:e>
                                        <m:r>
                                          <m:rPr>
                                            <m:sty m:val="p"/>
                                          </m:rPr>
                                          <a:rPr lang="fi-FI" sz="1200" b="0" i="0" baseline="0">
                                            <a:solidFill>
                                              <a:schemeClr val="dk1"/>
                                            </a:solidFill>
                                            <a:effectLst/>
                                            <a:latin typeface="Cambria Math" panose="02040503050406030204" pitchFamily="18" charset="0"/>
                                            <a:ea typeface="+mn-ea"/>
                                            <a:cs typeface="+mn-cs"/>
                                          </a:rPr>
                                          <m:t>X</m:t>
                                        </m:r>
                                      </m:e>
                                    </m:nary>
                                  </m:e>
                                  <m:sub>
                                    <m:r>
                                      <a:rPr lang="fi-FI" sz="1200" b="0" i="0" baseline="0">
                                        <a:solidFill>
                                          <a:schemeClr val="dk1"/>
                                        </a:solidFill>
                                        <a:effectLst/>
                                        <a:latin typeface="Cambria Math" panose="02040503050406030204" pitchFamily="18" charset="0"/>
                                        <a:ea typeface="+mn-ea"/>
                                        <a:cs typeface="+mn-cs"/>
                                      </a:rPr>
                                      <m:t>(</m:t>
                                    </m:r>
                                    <m:r>
                                      <m:rPr>
                                        <m:sty m:val="p"/>
                                      </m:rPr>
                                      <a:rPr lang="fi-FI" sz="1200" b="0" i="0" baseline="0">
                                        <a:solidFill>
                                          <a:schemeClr val="dk1"/>
                                        </a:solidFill>
                                        <a:effectLst/>
                                        <a:latin typeface="Cambria Math" panose="02040503050406030204" pitchFamily="18" charset="0"/>
                                        <a:ea typeface="+mn-ea"/>
                                        <a:cs typeface="+mn-cs"/>
                                      </a:rPr>
                                      <m:t>a</m:t>
                                    </m:r>
                                    <m:r>
                                      <a:rPr lang="fi-FI" sz="1200" b="0" i="0" baseline="0">
                                        <a:solidFill>
                                          <a:schemeClr val="dk1"/>
                                        </a:solidFill>
                                        <a:effectLst/>
                                        <a:latin typeface="Cambria Math" panose="02040503050406030204" pitchFamily="18" charset="0"/>
                                        <a:ea typeface="+mn-ea"/>
                                        <a:cs typeface="+mn-cs"/>
                                      </a:rPr>
                                      <m:t>.</m:t>
                                    </m:r>
                                    <m:r>
                                      <m:rPr>
                                        <m:sty m:val="p"/>
                                      </m:rPr>
                                      <a:rPr lang="fi-FI" sz="1200" b="0" i="0" baseline="0">
                                        <a:solidFill>
                                          <a:schemeClr val="dk1"/>
                                        </a:solidFill>
                                        <a:effectLst/>
                                        <a:latin typeface="Cambria Math" panose="02040503050406030204" pitchFamily="18" charset="0"/>
                                        <a:ea typeface="+mn-ea"/>
                                        <a:cs typeface="+mn-cs"/>
                                      </a:rPr>
                                      <m:t>s</m:t>
                                    </m:r>
                                    <m:r>
                                      <a:rPr lang="fi-FI" sz="1200" b="0" i="0" baseline="0">
                                        <a:solidFill>
                                          <a:schemeClr val="dk1"/>
                                        </a:solidFill>
                                        <a:effectLst/>
                                        <a:latin typeface="Cambria Math" panose="02040503050406030204" pitchFamily="18" charset="0"/>
                                        <a:ea typeface="+mn-ea"/>
                                        <a:cs typeface="+mn-cs"/>
                                      </a:rPr>
                                      <m:t>.</m:t>
                                    </m:r>
                                    <m:r>
                                      <m:rPr>
                                        <m:sty m:val="p"/>
                                      </m:rPr>
                                      <a:rPr lang="fi-FI" sz="1200" b="0" i="0" baseline="0">
                                        <a:solidFill>
                                          <a:schemeClr val="dk1"/>
                                        </a:solidFill>
                                        <a:effectLst/>
                                        <a:latin typeface="Cambria Math" panose="02040503050406030204" pitchFamily="18" charset="0"/>
                                        <a:ea typeface="+mn-ea"/>
                                        <a:cs typeface="+mn-cs"/>
                                      </a:rPr>
                                      <m:t>i</m:t>
                                    </m:r>
                                    <m:r>
                                      <a:rPr lang="fi-FI" sz="1200" b="0" i="0" baseline="0">
                                        <a:solidFill>
                                          <a:schemeClr val="dk1"/>
                                        </a:solidFill>
                                        <a:effectLst/>
                                        <a:latin typeface="Cambria Math" panose="02040503050406030204" pitchFamily="18" charset="0"/>
                                        <a:ea typeface="+mn-ea"/>
                                        <a:cs typeface="+mn-cs"/>
                                      </a:rPr>
                                      <m:t>)</m:t>
                                    </m:r>
                                  </m:sub>
                                </m:sSub>
                              </m:den>
                            </m:f>
                            <m:r>
                              <a:rPr lang="fi-FI" sz="1200" b="0" i="1" baseline="0">
                                <a:solidFill>
                                  <a:schemeClr val="dk1"/>
                                </a:solidFill>
                                <a:effectLst/>
                                <a:latin typeface="Cambria Math" panose="02040503050406030204" pitchFamily="18" charset="0"/>
                                <a:ea typeface="+mn-ea"/>
                                <a:cs typeface="+mn-cs"/>
                              </a:rPr>
                              <m:t>= </m:t>
                            </m:r>
                            <m:f>
                              <m:fPr>
                                <m:ctrlPr>
                                  <a:rPr lang="fi-FI" sz="1100" b="0" i="1" baseline="0">
                                    <a:solidFill>
                                      <a:schemeClr val="dk1"/>
                                    </a:solidFill>
                                    <a:effectLst/>
                                    <a:latin typeface="Cambria Math" panose="02040503050406030204" pitchFamily="18" charset="0"/>
                                    <a:ea typeface="+mn-ea"/>
                                    <a:cs typeface="+mn-cs"/>
                                  </a:rPr>
                                </m:ctrlPr>
                              </m:fPr>
                              <m:num>
                                <m:sSub>
                                  <m:sSubPr>
                                    <m:ctrlPr>
                                      <a:rPr lang="fi-FI" sz="1100" b="0" i="1" baseline="0">
                                        <a:solidFill>
                                          <a:schemeClr val="dk1"/>
                                        </a:solidFill>
                                        <a:effectLst/>
                                        <a:latin typeface="Cambria Math" panose="02040503050406030204" pitchFamily="18" charset="0"/>
                                        <a:ea typeface="+mn-ea"/>
                                        <a:cs typeface="+mn-cs"/>
                                      </a:rPr>
                                    </m:ctrlPr>
                                  </m:sSubPr>
                                  <m:e>
                                    <m:r>
                                      <m:rPr>
                                        <m:sty m:val="p"/>
                                      </m:rPr>
                                      <a:rPr lang="fi-FI" sz="1100" b="0" i="0" baseline="0">
                                        <a:solidFill>
                                          <a:schemeClr val="dk1"/>
                                        </a:solidFill>
                                        <a:effectLst/>
                                        <a:latin typeface="Cambria Math" panose="02040503050406030204" pitchFamily="18" charset="0"/>
                                        <a:ea typeface="+mn-ea"/>
                                        <a:cs typeface="+mn-cs"/>
                                      </a:rPr>
                                      <m:t>LD</m:t>
                                    </m:r>
                                  </m:e>
                                  <m:sub>
                                    <m:r>
                                      <a:rPr lang="fi-FI" sz="1100" b="0" i="0" baseline="0">
                                        <a:solidFill>
                                          <a:schemeClr val="dk1"/>
                                        </a:solidFill>
                                        <a:effectLst/>
                                        <a:latin typeface="Cambria Math" panose="02040503050406030204" pitchFamily="18" charset="0"/>
                                        <a:ea typeface="+mn-ea"/>
                                        <a:cs typeface="+mn-cs"/>
                                      </a:rPr>
                                      <m:t>50(</m:t>
                                    </m:r>
                                    <m:r>
                                      <m:rPr>
                                        <m:sty m:val="p"/>
                                      </m:rPr>
                                      <a:rPr lang="fi-FI" sz="1100" b="0" i="0" baseline="0">
                                        <a:solidFill>
                                          <a:schemeClr val="dk1"/>
                                        </a:solidFill>
                                        <a:effectLst/>
                                        <a:latin typeface="Cambria Math" panose="02040503050406030204" pitchFamily="18" charset="0"/>
                                        <a:ea typeface="+mn-ea"/>
                                        <a:cs typeface="+mn-cs"/>
                                      </a:rPr>
                                      <m:t>mix</m:t>
                                    </m:r>
                                    <m:r>
                                      <a:rPr lang="fi-FI" sz="1100" b="0" i="0" baseline="0">
                                        <a:solidFill>
                                          <a:schemeClr val="dk1"/>
                                        </a:solidFill>
                                        <a:effectLst/>
                                        <a:latin typeface="Cambria Math" panose="02040503050406030204" pitchFamily="18" charset="0"/>
                                        <a:ea typeface="+mn-ea"/>
                                        <a:cs typeface="+mn-cs"/>
                                      </a:rPr>
                                      <m:t>)</m:t>
                                    </m:r>
                                  </m:sub>
                                </m:sSub>
                              </m:num>
                              <m:den>
                                <m:r>
                                  <a:rPr lang="fi-FI" sz="1100" b="0" i="1" baseline="0">
                                    <a:solidFill>
                                      <a:schemeClr val="dk1"/>
                                    </a:solidFill>
                                    <a:effectLst/>
                                    <a:latin typeface="Cambria Math" panose="02040503050406030204" pitchFamily="18" charset="0"/>
                                    <a:ea typeface="+mn-ea"/>
                                    <a:cs typeface="+mn-cs"/>
                                  </a:rPr>
                                  <m:t>1</m:t>
                                </m:r>
                              </m:den>
                            </m:f>
                            <m:r>
                              <a:rPr lang="fi-FI" sz="1100" b="0" i="1" baseline="0">
                                <a:solidFill>
                                  <a:schemeClr val="dk1"/>
                                </a:solidFill>
                                <a:effectLst/>
                                <a:latin typeface="Cambria Math" panose="02040503050406030204" pitchFamily="18" charset="0"/>
                                <a:ea typeface="+mn-ea"/>
                                <a:cs typeface="+mn-cs"/>
                              </a:rPr>
                              <m:t> </m:t>
                            </m:r>
                          </m:oMath>
                        </m:oMathPara>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Arial" panose="020B0604020202020204" pitchFamily="34" charset="0"/>
                          <a:ea typeface="+mn-ea"/>
                          <a:cs typeface="Arial" panose="020B0604020202020204" pitchFamily="34" charset="0"/>
                        </a:rPr>
                        <a:t>Tox per fraction (mix) is equal to LD</a:t>
                      </a:r>
                      <a:r>
                        <a:rPr lang="en-GB" sz="1100" b="0" i="0" baseline="-25000">
                          <a:solidFill>
                            <a:schemeClr val="dk1"/>
                          </a:solidFill>
                          <a:effectLst/>
                          <a:latin typeface="Arial" panose="020B0604020202020204" pitchFamily="34" charset="0"/>
                          <a:ea typeface="+mn-ea"/>
                          <a:cs typeface="Arial" panose="020B0604020202020204" pitchFamily="34" charset="0"/>
                        </a:rPr>
                        <a:t>50(mix)</a:t>
                      </a:r>
                      <a:r>
                        <a:rPr lang="en-GB" sz="1100" b="0" i="0" baseline="0">
                          <a:solidFill>
                            <a:schemeClr val="dk1"/>
                          </a:solidFill>
                          <a:effectLst/>
                          <a:latin typeface="Arial" panose="020B0604020202020204" pitchFamily="34" charset="0"/>
                          <a:ea typeface="+mn-ea"/>
                          <a:cs typeface="Arial" panose="020B0604020202020204" pitchFamily="34" charset="0"/>
                        </a:rPr>
                        <a:t>, as the sum of fractions = 1.</a:t>
                      </a:r>
                      <a:endParaRPr lang="en-GB" sz="1100">
                        <a:effectLst/>
                        <a:latin typeface="Arial" panose="020B0604020202020204" pitchFamily="34" charset="0"/>
                        <a:cs typeface="Arial" panose="020B0604020202020204" pitchFamily="34" charset="0"/>
                      </a:endParaRPr>
                    </a:p>
                  </xdr:txBody>
                </xdr:sp>
              </mc:Choice>
              <mc:Fallback xmlns="">
                <xdr:sp macro="" textlink="">
                  <xdr:nvSpPr>
                    <xdr:cNvPr id="27" name="TextBox 26">
                      <a:extLst>
                        <a:ext uri="{FF2B5EF4-FFF2-40B4-BE49-F238E27FC236}">
                          <a16:creationId xmlns:a16="http://schemas.microsoft.com/office/drawing/2014/main" id="{4D13E015-FF94-47C6-AB84-7695EDA21B9E}"/>
                        </a:ext>
                      </a:extLst>
                    </xdr:cNvPr>
                    <xdr:cNvSpPr txBox="1"/>
                  </xdr:nvSpPr>
                  <xdr:spPr>
                    <a:xfrm>
                      <a:off x="12471843" y="4194123"/>
                      <a:ext cx="4870575" cy="1569172"/>
                    </a:xfrm>
                    <a:prstGeom prst="rect">
                      <a:avLst/>
                    </a:prstGeom>
                    <a:solidFill>
                      <a:srgbClr val="F3F2E7"/>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fi-FI" sz="1200" b="0" i="0" u="none" strike="noStrike" baseline="0">
                          <a:solidFill>
                            <a:schemeClr val="dk1"/>
                          </a:solidFill>
                          <a:latin typeface="Cambria Math" panose="02040503050406030204" pitchFamily="18" charset="0"/>
                          <a:ea typeface="+mn-ea"/>
                          <a:cs typeface="+mn-cs"/>
                        </a:rPr>
                        <a:t>tox per fraction (a.s.)=LD_(50〖(a.s.〗_i))/</a:t>
                      </a:r>
                      <a:r>
                        <a:rPr lang="fi-FI" sz="1200" b="0" i="0" baseline="0">
                          <a:solidFill>
                            <a:schemeClr val="dk1"/>
                          </a:solidFill>
                          <a:effectLst/>
                          <a:latin typeface="Cambria Math" panose="02040503050406030204" pitchFamily="18" charset="0"/>
                          <a:ea typeface="+mn-ea"/>
                          <a:cs typeface="+mn-cs"/>
                        </a:rPr>
                        <a:t>X_(〖(a.s.〗_i)) </a:t>
                      </a:r>
                      <a:endParaRPr lang="en-GB" sz="1200" b="0" i="0" u="none" strike="noStrike" baseline="0">
                        <a:solidFill>
                          <a:schemeClr val="dk1"/>
                        </a:solidFill>
                        <a:latin typeface="+mn-lt"/>
                        <a:ea typeface="+mn-ea"/>
                        <a:cs typeface="+mn-cs"/>
                      </a:endParaRPr>
                    </a:p>
                    <a:p>
                      <a:endParaRPr lang="en-GB" sz="12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200" b="0" i="0" baseline="0">
                          <a:solidFill>
                            <a:schemeClr val="dk1"/>
                          </a:solidFill>
                          <a:effectLst/>
                          <a:latin typeface="Cambria Math" panose="02040503050406030204" pitchFamily="18" charset="0"/>
                          <a:ea typeface="+mn-ea"/>
                          <a:cs typeface="+mn-cs"/>
                        </a:rPr>
                        <a:t>tox per fraction (mix)=LD_(50(mix))/∑▒X_((a.s.i)) = </a:t>
                      </a:r>
                      <a:r>
                        <a:rPr lang="fi-FI" sz="1100" b="0" i="0" baseline="0">
                          <a:solidFill>
                            <a:schemeClr val="dk1"/>
                          </a:solidFill>
                          <a:effectLst/>
                          <a:latin typeface="Cambria Math" panose="02040503050406030204" pitchFamily="18" charset="0"/>
                          <a:ea typeface="+mn-ea"/>
                          <a:cs typeface="+mn-cs"/>
                        </a:rPr>
                        <a:t> LD_(50(mix))/1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Arial" panose="020B0604020202020204" pitchFamily="34" charset="0"/>
                          <a:ea typeface="+mn-ea"/>
                          <a:cs typeface="Arial" panose="020B0604020202020204" pitchFamily="34" charset="0"/>
                        </a:rPr>
                        <a:t>Tox per fraction (mix) is equal to LD</a:t>
                      </a:r>
                      <a:r>
                        <a:rPr lang="en-GB" sz="1100" b="0" i="0" baseline="-25000">
                          <a:solidFill>
                            <a:schemeClr val="dk1"/>
                          </a:solidFill>
                          <a:effectLst/>
                          <a:latin typeface="Arial" panose="020B0604020202020204" pitchFamily="34" charset="0"/>
                          <a:ea typeface="+mn-ea"/>
                          <a:cs typeface="Arial" panose="020B0604020202020204" pitchFamily="34" charset="0"/>
                        </a:rPr>
                        <a:t>50(mix)</a:t>
                      </a:r>
                      <a:r>
                        <a:rPr lang="en-GB" sz="1100" b="0" i="0" baseline="0">
                          <a:solidFill>
                            <a:schemeClr val="dk1"/>
                          </a:solidFill>
                          <a:effectLst/>
                          <a:latin typeface="Arial" panose="020B0604020202020204" pitchFamily="34" charset="0"/>
                          <a:ea typeface="+mn-ea"/>
                          <a:cs typeface="Arial" panose="020B0604020202020204" pitchFamily="34" charset="0"/>
                        </a:rPr>
                        <a:t>, as the sum of fractions = 1.</a:t>
                      </a:r>
                      <a:endParaRPr lang="en-GB" sz="1100">
                        <a:effectLst/>
                        <a:latin typeface="Arial" panose="020B0604020202020204" pitchFamily="34" charset="0"/>
                        <a:cs typeface="Arial" panose="020B0604020202020204" pitchFamily="34" charset="0"/>
                      </a:endParaRPr>
                    </a:p>
                  </xdr:txBody>
                </xdr:sp>
              </mc:Fallback>
            </mc:AlternateContent>
          </xdr:grpSp>
        </xdr:grpSp>
      </xdr:grpSp>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B17272C-2EC7-4133-807D-A539FA6284F0}"/>
                  </a:ext>
                </a:extLst>
              </xdr:cNvPr>
              <xdr:cNvSpPr txBox="1"/>
            </xdr:nvSpPr>
            <xdr:spPr>
              <a:xfrm>
                <a:off x="12447760" y="10321452"/>
                <a:ext cx="4876267" cy="3099112"/>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DDD</a:t>
                </a:r>
                <a:r>
                  <a:rPr lang="en-GB" sz="1100" baseline="-25000">
                    <a:latin typeface="Arial" panose="020B0604020202020204" pitchFamily="34" charset="0"/>
                    <a:cs typeface="Arial" panose="020B0604020202020204" pitchFamily="34" charset="0"/>
                  </a:rPr>
                  <a:t>90 </a:t>
                </a:r>
                <a:r>
                  <a:rPr lang="en-GB" sz="1100" baseline="0">
                    <a:latin typeface="Arial" panose="020B0604020202020204" pitchFamily="34" charset="0"/>
                    <a:cs typeface="Arial" panose="020B0604020202020204" pitchFamily="34" charset="0"/>
                  </a:rPr>
                  <a:t>= SV</a:t>
                </a:r>
                <a:r>
                  <a:rPr lang="en-GB" sz="1100" baseline="-25000">
                    <a:latin typeface="Arial" panose="020B0604020202020204" pitchFamily="34" charset="0"/>
                    <a:cs typeface="Arial" panose="020B0604020202020204" pitchFamily="34" charset="0"/>
                  </a:rPr>
                  <a:t>90 </a:t>
                </a:r>
                <a:r>
                  <a:rPr lang="en-GB" sz="1100" baseline="0">
                    <a:latin typeface="Arial" panose="020B0604020202020204" pitchFamily="34" charset="0"/>
                    <a:cs typeface="Arial" panose="020B0604020202020204" pitchFamily="34" charset="0"/>
                  </a:rPr>
                  <a:t>* Application rate </a:t>
                </a:r>
                <a:r>
                  <a:rPr lang="en-GB" sz="1100" b="0" i="0" u="none" strike="noStrike">
                    <a:solidFill>
                      <a:schemeClr val="dk1"/>
                    </a:solidFill>
                    <a:effectLst/>
                    <a:latin typeface="Arial" panose="020B0604020202020204" pitchFamily="34" charset="0"/>
                    <a:ea typeface="+mn-ea"/>
                    <a:cs typeface="Arial" panose="020B0604020202020204" pitchFamily="34" charset="0"/>
                  </a:rPr>
                  <a:t>(kg ∑(a.s.</a:t>
                </a:r>
                <a:r>
                  <a:rPr lang="en-GB" sz="1100" b="0" i="0" u="none" strike="noStrike" baseline="-25000">
                    <a:solidFill>
                      <a:schemeClr val="dk1"/>
                    </a:solidFill>
                    <a:effectLst/>
                    <a:latin typeface="Arial" panose="020B0604020202020204" pitchFamily="34" charset="0"/>
                    <a:ea typeface="+mn-ea"/>
                    <a:cs typeface="Arial" panose="020B0604020202020204" pitchFamily="34" charset="0"/>
                  </a:rPr>
                  <a:t>i</a:t>
                </a:r>
                <a:r>
                  <a:rPr lang="en-GB" sz="1100" b="0" i="0" u="none" strike="noStrike">
                    <a:solidFill>
                      <a:schemeClr val="dk1"/>
                    </a:solidFill>
                    <a:effectLst/>
                    <a:latin typeface="Arial" panose="020B0604020202020204" pitchFamily="34" charset="0"/>
                    <a:ea typeface="+mn-ea"/>
                    <a:cs typeface="Arial" panose="020B0604020202020204" pitchFamily="34" charset="0"/>
                  </a:rPr>
                  <a:t>)/ha)</a:t>
                </a:r>
                <a:r>
                  <a:rPr lang="en-GB" sz="1100">
                    <a:latin typeface="Arial" panose="020B0604020202020204" pitchFamily="34" charset="0"/>
                    <a:cs typeface="Arial" panose="020B0604020202020204" pitchFamily="34" charset="0"/>
                  </a:rPr>
                  <a:t> * MAF</a:t>
                </a:r>
                <a:r>
                  <a:rPr lang="en-GB" sz="1100" baseline="-25000">
                    <a:latin typeface="Arial" panose="020B0604020202020204" pitchFamily="34" charset="0"/>
                    <a:cs typeface="Arial" panose="020B0604020202020204" pitchFamily="34" charset="0"/>
                  </a:rPr>
                  <a:t>90</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With:</a:t>
                </a:r>
              </a:p>
              <a:p>
                <a:r>
                  <a:rPr lang="en-GB" sz="1100" b="0">
                    <a:latin typeface="Arial" panose="020B0604020202020204" pitchFamily="34" charset="0"/>
                    <a:cs typeface="Arial" panose="020B0604020202020204" pitchFamily="34" charset="0"/>
                  </a:rPr>
                  <a:t>DDD</a:t>
                </a:r>
                <a:r>
                  <a:rPr lang="en-GB" sz="1100" b="0" baseline="-25000">
                    <a:latin typeface="Arial" panose="020B0604020202020204" pitchFamily="34" charset="0"/>
                    <a:cs typeface="Arial" panose="020B0604020202020204" pitchFamily="34" charset="0"/>
                  </a:rPr>
                  <a:t>90</a:t>
                </a:r>
                <a:r>
                  <a:rPr lang="en-GB" sz="1100" b="0" i="0" baseline="0">
                    <a:latin typeface="Arial" panose="020B0604020202020204" pitchFamily="34" charset="0"/>
                    <a:cs typeface="Arial" panose="020B0604020202020204" pitchFamily="34" charset="0"/>
                  </a:rPr>
                  <a:t> = Theoretical daily dietary dose of the mixture, following one or multiple applications.</a:t>
                </a:r>
              </a:p>
              <a:p>
                <a:endParaRPr lang="en-GB" sz="1100" b="0" i="0" baseline="0">
                  <a:latin typeface="Arial" panose="020B0604020202020204" pitchFamily="34" charset="0"/>
                  <a:cs typeface="Arial" panose="020B0604020202020204" pitchFamily="34" charset="0"/>
                </a:endParaRPr>
              </a:p>
              <a:p>
                <a:r>
                  <a:rPr lang="en-GB" sz="1100" b="0" i="0" baseline="0">
                    <a:latin typeface="Arial" panose="020B0604020202020204" pitchFamily="34" charset="0"/>
                    <a:cs typeface="Arial" panose="020B0604020202020204" pitchFamily="34" charset="0"/>
                  </a:rPr>
                  <a:t>SV</a:t>
                </a:r>
                <a:r>
                  <a:rPr lang="en-GB" sz="1100" b="0" i="0" baseline="-25000">
                    <a:latin typeface="Arial" panose="020B0604020202020204" pitchFamily="34" charset="0"/>
                    <a:cs typeface="Arial" panose="020B0604020202020204" pitchFamily="34" charset="0"/>
                  </a:rPr>
                  <a:t>90 </a:t>
                </a:r>
                <a:r>
                  <a:rPr lang="en-GB" sz="1100" b="0" i="0" baseline="0">
                    <a:latin typeface="Arial" panose="020B0604020202020204" pitchFamily="34" charset="0"/>
                    <a:cs typeface="Arial" panose="020B0604020202020204" pitchFamily="34" charset="0"/>
                  </a:rPr>
                  <a:t>= Acute shortcut value (based on 90</a:t>
                </a:r>
                <a:r>
                  <a:rPr lang="en-GB" sz="1100" b="0" i="0" baseline="30000">
                    <a:latin typeface="Arial" panose="020B0604020202020204" pitchFamily="34" charset="0"/>
                    <a:cs typeface="Arial" panose="020B0604020202020204" pitchFamily="34" charset="0"/>
                  </a:rPr>
                  <a:t>th</a:t>
                </a:r>
                <a:r>
                  <a:rPr lang="en-GB" sz="1100" b="0" i="0" baseline="0">
                    <a:latin typeface="Arial" panose="020B0604020202020204" pitchFamily="34" charset="0"/>
                    <a:cs typeface="Arial" panose="020B0604020202020204" pitchFamily="34" charset="0"/>
                  </a:rPr>
                  <a:t> percentile residues) in accordance with Tier 1 of the EFSA B&amp;M GD.</a:t>
                </a:r>
              </a:p>
              <a:p>
                <a:endParaRPr lang="en-GB" sz="1100" b="0" i="0" baseline="0">
                  <a:latin typeface="Arial" panose="020B0604020202020204" pitchFamily="34" charset="0"/>
                  <a:cs typeface="Arial" panose="020B0604020202020204" pitchFamily="34" charset="0"/>
                </a:endParaRPr>
              </a:p>
              <a:p>
                <a:r>
                  <a:rPr lang="en-GB" sz="1100" b="0" i="0" baseline="0">
                    <a:latin typeface="Arial" panose="020B0604020202020204" pitchFamily="34" charset="0"/>
                    <a:cs typeface="Arial" panose="020B0604020202020204" pitchFamily="34" charset="0"/>
                  </a:rPr>
                  <a:t>MAF</a:t>
                </a:r>
                <a:r>
                  <a:rPr lang="en-GB" sz="1100" b="0" i="0" baseline="-25000">
                    <a:latin typeface="Arial" panose="020B0604020202020204" pitchFamily="34" charset="0"/>
                    <a:cs typeface="Arial" panose="020B0604020202020204" pitchFamily="34" charset="0"/>
                  </a:rPr>
                  <a:t>90</a:t>
                </a:r>
                <a:r>
                  <a:rPr lang="en-GB" sz="1100" i="0" baseline="0">
                    <a:latin typeface="Arial" panose="020B0604020202020204" pitchFamily="34" charset="0"/>
                    <a:cs typeface="Arial" panose="020B0604020202020204" pitchFamily="34" charset="0"/>
                  </a:rPr>
                  <a:t> = Multiple application factor for the 90</a:t>
                </a:r>
                <a:r>
                  <a:rPr lang="en-GB" sz="1100" i="0" baseline="30000">
                    <a:latin typeface="Arial" panose="020B0604020202020204" pitchFamily="34" charset="0"/>
                    <a:cs typeface="Arial" panose="020B0604020202020204" pitchFamily="34" charset="0"/>
                  </a:rPr>
                  <a:t>th</a:t>
                </a:r>
                <a:r>
                  <a:rPr lang="en-GB" sz="1100" i="0" baseline="0">
                    <a:latin typeface="Arial" panose="020B0604020202020204" pitchFamily="34" charset="0"/>
                    <a:cs typeface="Arial" panose="020B0604020202020204" pitchFamily="34" charset="0"/>
                  </a:rPr>
                  <a:t> percentile residue data, if more than one applications are considered.</a:t>
                </a:r>
                <a:endParaRPr lang="en-GB" sz="1100" b="0" i="0" baseline="0">
                  <a:solidFill>
                    <a:schemeClr val="dk1"/>
                  </a:solidFill>
                  <a:effectLst/>
                  <a:latin typeface="Arial" panose="020B0604020202020204" pitchFamily="34" charset="0"/>
                  <a:ea typeface="+mn-ea"/>
                  <a:cs typeface="Arial" panose="020B0604020202020204" pitchFamily="34" charset="0"/>
                </a:endParaRPr>
              </a:p>
              <a:p>
                <a:endParaRPr lang="en-GB" sz="1100" b="0" i="0" baseline="0">
                  <a:solidFill>
                    <a:schemeClr val="dk1"/>
                  </a:solidFill>
                  <a:effectLst/>
                  <a:latin typeface="Arial" panose="020B0604020202020204" pitchFamily="34" charset="0"/>
                  <a:ea typeface="+mn-ea"/>
                  <a:cs typeface="Arial" panose="020B0604020202020204" pitchFamily="34" charset="0"/>
                </a:endParaRPr>
              </a:p>
              <a:p>
                <a:pPr/>
                <a14:m>
                  <m:oMathPara xmlns:m="http://schemas.openxmlformats.org/officeDocument/2006/math">
                    <m:oMathParaPr>
                      <m:jc m:val="left"/>
                    </m:oMathParaPr>
                    <m:oMath xmlns:m="http://schemas.openxmlformats.org/officeDocument/2006/math">
                      <m:r>
                        <m:rPr>
                          <m:sty m:val="p"/>
                        </m:rPr>
                        <a:rPr lang="fi-FI" sz="1100" b="0" i="0">
                          <a:solidFill>
                            <a:schemeClr val="dk1"/>
                          </a:solidFill>
                          <a:effectLst/>
                          <a:latin typeface="Cambria Math" panose="02040503050406030204" pitchFamily="18" charset="0"/>
                          <a:ea typeface="+mn-ea"/>
                          <a:cs typeface="+mn-cs"/>
                        </a:rPr>
                        <m:t>TER</m:t>
                      </m:r>
                      <m:d>
                        <m:dPr>
                          <m:ctrlPr>
                            <a:rPr lang="fi-FI" sz="1100" b="0" i="1">
                              <a:solidFill>
                                <a:schemeClr val="dk1"/>
                              </a:solidFill>
                              <a:effectLst/>
                              <a:latin typeface="Cambria Math" panose="02040503050406030204" pitchFamily="18" charset="0"/>
                              <a:ea typeface="+mn-ea"/>
                              <a:cs typeface="+mn-cs"/>
                            </a:rPr>
                          </m:ctrlPr>
                        </m:dPr>
                        <m:e>
                          <m:r>
                            <m:rPr>
                              <m:sty m:val="p"/>
                            </m:rPr>
                            <a:rPr lang="fi-FI" sz="1100" b="0" i="0">
                              <a:solidFill>
                                <a:schemeClr val="dk1"/>
                              </a:solidFill>
                              <a:effectLst/>
                              <a:latin typeface="Cambria Math" panose="02040503050406030204" pitchFamily="18" charset="0"/>
                              <a:ea typeface="+mn-ea"/>
                              <a:cs typeface="+mn-cs"/>
                            </a:rPr>
                            <m:t>mix</m:t>
                          </m:r>
                        </m:e>
                      </m:d>
                      <m:r>
                        <a:rPr lang="fi-FI" sz="1100" b="0" i="0">
                          <a:solidFill>
                            <a:schemeClr val="dk1"/>
                          </a:solidFill>
                          <a:effectLst/>
                          <a:latin typeface="Cambria Math" panose="02040503050406030204" pitchFamily="18" charset="0"/>
                          <a:ea typeface="+mn-ea"/>
                          <a:cs typeface="+mn-cs"/>
                        </a:rPr>
                        <m:t>=</m:t>
                      </m:r>
                      <m:f>
                        <m:fPr>
                          <m:ctrlPr>
                            <a:rPr lang="fi-FI" sz="1100" b="0" i="1">
                              <a:solidFill>
                                <a:schemeClr val="dk1"/>
                              </a:solidFill>
                              <a:effectLst/>
                              <a:latin typeface="Cambria Math" panose="02040503050406030204" pitchFamily="18" charset="0"/>
                              <a:ea typeface="+mn-ea"/>
                              <a:cs typeface="+mn-cs"/>
                            </a:rPr>
                          </m:ctrlPr>
                        </m:fPr>
                        <m:num>
                          <m:sSub>
                            <m:sSubPr>
                              <m:ctrlPr>
                                <a:rPr lang="fi-FI" sz="1100" b="0" i="1">
                                  <a:solidFill>
                                    <a:schemeClr val="dk1"/>
                                  </a:solidFill>
                                  <a:effectLst/>
                                  <a:latin typeface="Cambria Math" panose="02040503050406030204" pitchFamily="18" charset="0"/>
                                  <a:ea typeface="+mn-ea"/>
                                  <a:cs typeface="+mn-cs"/>
                                </a:rPr>
                              </m:ctrlPr>
                            </m:sSubPr>
                            <m:e>
                              <m:r>
                                <m:rPr>
                                  <m:sty m:val="p"/>
                                </m:rPr>
                                <a:rPr lang="fi-FI" sz="1100" b="0" i="0">
                                  <a:solidFill>
                                    <a:schemeClr val="dk1"/>
                                  </a:solidFill>
                                  <a:effectLst/>
                                  <a:latin typeface="Cambria Math" panose="02040503050406030204" pitchFamily="18" charset="0"/>
                                  <a:ea typeface="+mn-ea"/>
                                  <a:cs typeface="+mn-cs"/>
                                </a:rPr>
                                <m:t>LD</m:t>
                              </m:r>
                            </m:e>
                            <m:sub>
                              <m:r>
                                <a:rPr lang="fi-FI" sz="1100" b="0" i="0">
                                  <a:solidFill>
                                    <a:schemeClr val="dk1"/>
                                  </a:solidFill>
                                  <a:effectLst/>
                                  <a:latin typeface="Cambria Math" panose="02040503050406030204" pitchFamily="18" charset="0"/>
                                  <a:ea typeface="+mn-ea"/>
                                  <a:cs typeface="+mn-cs"/>
                                </a:rPr>
                                <m:t>50</m:t>
                              </m:r>
                            </m:sub>
                          </m:sSub>
                          <m:r>
                            <a:rPr lang="en-GB" sz="1100" b="0" i="1" baseline="30000">
                              <a:solidFill>
                                <a:schemeClr val="dk1"/>
                              </a:solidFill>
                              <a:effectLst/>
                              <a:latin typeface="Cambria Math" panose="02040503050406030204" pitchFamily="18" charset="0"/>
                              <a:ea typeface="+mn-ea"/>
                              <a:cs typeface="+mn-cs"/>
                            </a:rPr>
                            <m:t>#</m:t>
                          </m:r>
                        </m:num>
                        <m:den>
                          <m:sSub>
                            <m:sSubPr>
                              <m:ctrlPr>
                                <a:rPr lang="fi-FI" sz="1100" b="0" i="1">
                                  <a:solidFill>
                                    <a:schemeClr val="dk1"/>
                                  </a:solidFill>
                                  <a:effectLst/>
                                  <a:latin typeface="Cambria Math" panose="02040503050406030204" pitchFamily="18" charset="0"/>
                                  <a:ea typeface="+mn-ea"/>
                                  <a:cs typeface="+mn-cs"/>
                                </a:rPr>
                              </m:ctrlPr>
                            </m:sSubPr>
                            <m:e>
                              <m:r>
                                <m:rPr>
                                  <m:sty m:val="p"/>
                                </m:rPr>
                                <a:rPr lang="fi-FI" sz="1100" b="0" i="0">
                                  <a:solidFill>
                                    <a:schemeClr val="dk1"/>
                                  </a:solidFill>
                                  <a:effectLst/>
                                  <a:latin typeface="Cambria Math" panose="02040503050406030204" pitchFamily="18" charset="0"/>
                                  <a:ea typeface="+mn-ea"/>
                                  <a:cs typeface="+mn-cs"/>
                                </a:rPr>
                                <m:t>DDD</m:t>
                              </m:r>
                            </m:e>
                            <m:sub>
                              <m:r>
                                <a:rPr lang="fi-FI" sz="1100" b="0" i="1">
                                  <a:solidFill>
                                    <a:schemeClr val="dk1"/>
                                  </a:solidFill>
                                  <a:effectLst/>
                                  <a:latin typeface="Cambria Math" panose="02040503050406030204" pitchFamily="18" charset="0"/>
                                  <a:ea typeface="+mn-ea"/>
                                  <a:cs typeface="+mn-cs"/>
                                </a:rPr>
                                <m:t>90</m:t>
                              </m:r>
                            </m:sub>
                          </m:sSub>
                        </m:den>
                      </m:f>
                    </m:oMath>
                  </m:oMathPara>
                </a14:m>
                <a:endParaRPr lang="en-GB" sz="1100" i="0">
                  <a:latin typeface="Arial" panose="020B0604020202020204" pitchFamily="34" charset="0"/>
                  <a:cs typeface="Arial" panose="020B0604020202020204" pitchFamily="34" charset="0"/>
                </a:endParaRPr>
              </a:p>
              <a:p>
                <a:endParaRPr lang="en-GB" sz="1100" i="0">
                  <a:latin typeface="Arial" panose="020B0604020202020204" pitchFamily="34" charset="0"/>
                  <a:cs typeface="Arial" panose="020B0604020202020204" pitchFamily="34" charset="0"/>
                </a:endParaRPr>
              </a:p>
              <a:p>
                <a:r>
                  <a:rPr lang="en-GB" sz="1100" i="0" baseline="30000">
                    <a:latin typeface="Arial" panose="020B0604020202020204" pitchFamily="34" charset="0"/>
                    <a:cs typeface="Arial" panose="020B0604020202020204" pitchFamily="34" charset="0"/>
                  </a:rPr>
                  <a:t>#</a:t>
                </a:r>
                <a:r>
                  <a:rPr lang="en-GB" sz="1100" i="0">
                    <a:latin typeface="Arial" panose="020B0604020202020204" pitchFamily="34" charset="0"/>
                    <a:cs typeface="Arial" panose="020B0604020202020204" pitchFamily="34" charset="0"/>
                  </a:rPr>
                  <a:t> Either the formulation</a:t>
                </a:r>
                <a:r>
                  <a:rPr lang="en-GB" sz="1100" i="0" baseline="0">
                    <a:latin typeface="Arial" panose="020B0604020202020204" pitchFamily="34" charset="0"/>
                    <a:cs typeface="Arial" panose="020B0604020202020204" pitchFamily="34" charset="0"/>
                  </a:rPr>
                  <a:t> endpoint, or the surrogate endpoint, depending on the available data and Step 1 - 2 calculations.</a:t>
                </a:r>
                <a:endParaRPr lang="en-GB" sz="1100" i="0">
                  <a:latin typeface="Arial" panose="020B0604020202020204" pitchFamily="34" charset="0"/>
                  <a:cs typeface="Arial" panose="020B0604020202020204" pitchFamily="34" charset="0"/>
                </a:endParaRPr>
              </a:p>
            </xdr:txBody>
          </xdr:sp>
        </mc:Choice>
        <mc:Fallback xmlns="">
          <xdr:sp macro="" textlink="">
            <xdr:nvSpPr>
              <xdr:cNvPr id="3" name="TextBox 2">
                <a:extLst>
                  <a:ext uri="{FF2B5EF4-FFF2-40B4-BE49-F238E27FC236}">
                    <a16:creationId xmlns:a16="http://schemas.microsoft.com/office/drawing/2014/main" id="{AB17272C-2EC7-4133-807D-A539FA6284F0}"/>
                  </a:ext>
                </a:extLst>
              </xdr:cNvPr>
              <xdr:cNvSpPr txBox="1"/>
            </xdr:nvSpPr>
            <xdr:spPr>
              <a:xfrm>
                <a:off x="12447760" y="10321452"/>
                <a:ext cx="4876267" cy="3099112"/>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DDD</a:t>
                </a:r>
                <a:r>
                  <a:rPr lang="en-GB" sz="1100" baseline="-25000">
                    <a:latin typeface="Arial" panose="020B0604020202020204" pitchFamily="34" charset="0"/>
                    <a:cs typeface="Arial" panose="020B0604020202020204" pitchFamily="34" charset="0"/>
                  </a:rPr>
                  <a:t>90 </a:t>
                </a:r>
                <a:r>
                  <a:rPr lang="en-GB" sz="1100" baseline="0">
                    <a:latin typeface="Arial" panose="020B0604020202020204" pitchFamily="34" charset="0"/>
                    <a:cs typeface="Arial" panose="020B0604020202020204" pitchFamily="34" charset="0"/>
                  </a:rPr>
                  <a:t>= SV</a:t>
                </a:r>
                <a:r>
                  <a:rPr lang="en-GB" sz="1100" baseline="-25000">
                    <a:latin typeface="Arial" panose="020B0604020202020204" pitchFamily="34" charset="0"/>
                    <a:cs typeface="Arial" panose="020B0604020202020204" pitchFamily="34" charset="0"/>
                  </a:rPr>
                  <a:t>90 </a:t>
                </a:r>
                <a:r>
                  <a:rPr lang="en-GB" sz="1100" baseline="0">
                    <a:latin typeface="Arial" panose="020B0604020202020204" pitchFamily="34" charset="0"/>
                    <a:cs typeface="Arial" panose="020B0604020202020204" pitchFamily="34" charset="0"/>
                  </a:rPr>
                  <a:t>* Application rate </a:t>
                </a:r>
                <a:r>
                  <a:rPr lang="en-GB" sz="1100" b="0" i="0" u="none" strike="noStrike">
                    <a:solidFill>
                      <a:schemeClr val="dk1"/>
                    </a:solidFill>
                    <a:effectLst/>
                    <a:latin typeface="Arial" panose="020B0604020202020204" pitchFamily="34" charset="0"/>
                    <a:ea typeface="+mn-ea"/>
                    <a:cs typeface="Arial" panose="020B0604020202020204" pitchFamily="34" charset="0"/>
                  </a:rPr>
                  <a:t>(kg ∑(a.s.</a:t>
                </a:r>
                <a:r>
                  <a:rPr lang="en-GB" sz="1100" b="0" i="0" u="none" strike="noStrike" baseline="-25000">
                    <a:solidFill>
                      <a:schemeClr val="dk1"/>
                    </a:solidFill>
                    <a:effectLst/>
                    <a:latin typeface="Arial" panose="020B0604020202020204" pitchFamily="34" charset="0"/>
                    <a:ea typeface="+mn-ea"/>
                    <a:cs typeface="Arial" panose="020B0604020202020204" pitchFamily="34" charset="0"/>
                  </a:rPr>
                  <a:t>i</a:t>
                </a:r>
                <a:r>
                  <a:rPr lang="en-GB" sz="1100" b="0" i="0" u="none" strike="noStrike">
                    <a:solidFill>
                      <a:schemeClr val="dk1"/>
                    </a:solidFill>
                    <a:effectLst/>
                    <a:latin typeface="Arial" panose="020B0604020202020204" pitchFamily="34" charset="0"/>
                    <a:ea typeface="+mn-ea"/>
                    <a:cs typeface="Arial" panose="020B0604020202020204" pitchFamily="34" charset="0"/>
                  </a:rPr>
                  <a:t>)/ha)</a:t>
                </a:r>
                <a:r>
                  <a:rPr lang="en-GB" sz="1100">
                    <a:latin typeface="Arial" panose="020B0604020202020204" pitchFamily="34" charset="0"/>
                    <a:cs typeface="Arial" panose="020B0604020202020204" pitchFamily="34" charset="0"/>
                  </a:rPr>
                  <a:t> * MAF</a:t>
                </a:r>
                <a:r>
                  <a:rPr lang="en-GB" sz="1100" baseline="-25000">
                    <a:latin typeface="Arial" panose="020B0604020202020204" pitchFamily="34" charset="0"/>
                    <a:cs typeface="Arial" panose="020B0604020202020204" pitchFamily="34" charset="0"/>
                  </a:rPr>
                  <a:t>90</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With:</a:t>
                </a:r>
              </a:p>
              <a:p>
                <a:r>
                  <a:rPr lang="en-GB" sz="1100" b="0">
                    <a:latin typeface="Arial" panose="020B0604020202020204" pitchFamily="34" charset="0"/>
                    <a:cs typeface="Arial" panose="020B0604020202020204" pitchFamily="34" charset="0"/>
                  </a:rPr>
                  <a:t>DDD</a:t>
                </a:r>
                <a:r>
                  <a:rPr lang="en-GB" sz="1100" b="0" baseline="-25000">
                    <a:latin typeface="Arial" panose="020B0604020202020204" pitchFamily="34" charset="0"/>
                    <a:cs typeface="Arial" panose="020B0604020202020204" pitchFamily="34" charset="0"/>
                  </a:rPr>
                  <a:t>90</a:t>
                </a:r>
                <a:r>
                  <a:rPr lang="en-GB" sz="1100" b="0" i="0" baseline="0">
                    <a:latin typeface="Arial" panose="020B0604020202020204" pitchFamily="34" charset="0"/>
                    <a:cs typeface="Arial" panose="020B0604020202020204" pitchFamily="34" charset="0"/>
                  </a:rPr>
                  <a:t> = Theoretical daily dietary dose of the mixture, following one or multiple applications.</a:t>
                </a:r>
              </a:p>
              <a:p>
                <a:endParaRPr lang="en-GB" sz="1100" b="0" i="0" baseline="0">
                  <a:latin typeface="Arial" panose="020B0604020202020204" pitchFamily="34" charset="0"/>
                  <a:cs typeface="Arial" panose="020B0604020202020204" pitchFamily="34" charset="0"/>
                </a:endParaRPr>
              </a:p>
              <a:p>
                <a:r>
                  <a:rPr lang="en-GB" sz="1100" b="0" i="0" baseline="0">
                    <a:latin typeface="Arial" panose="020B0604020202020204" pitchFamily="34" charset="0"/>
                    <a:cs typeface="Arial" panose="020B0604020202020204" pitchFamily="34" charset="0"/>
                  </a:rPr>
                  <a:t>SV</a:t>
                </a:r>
                <a:r>
                  <a:rPr lang="en-GB" sz="1100" b="0" i="0" baseline="-25000">
                    <a:latin typeface="Arial" panose="020B0604020202020204" pitchFamily="34" charset="0"/>
                    <a:cs typeface="Arial" panose="020B0604020202020204" pitchFamily="34" charset="0"/>
                  </a:rPr>
                  <a:t>90 </a:t>
                </a:r>
                <a:r>
                  <a:rPr lang="en-GB" sz="1100" b="0" i="0" baseline="0">
                    <a:latin typeface="Arial" panose="020B0604020202020204" pitchFamily="34" charset="0"/>
                    <a:cs typeface="Arial" panose="020B0604020202020204" pitchFamily="34" charset="0"/>
                  </a:rPr>
                  <a:t>= Acute shortcut value (based on 90</a:t>
                </a:r>
                <a:r>
                  <a:rPr lang="en-GB" sz="1100" b="0" i="0" baseline="30000">
                    <a:latin typeface="Arial" panose="020B0604020202020204" pitchFamily="34" charset="0"/>
                    <a:cs typeface="Arial" panose="020B0604020202020204" pitchFamily="34" charset="0"/>
                  </a:rPr>
                  <a:t>th</a:t>
                </a:r>
                <a:r>
                  <a:rPr lang="en-GB" sz="1100" b="0" i="0" baseline="0">
                    <a:latin typeface="Arial" panose="020B0604020202020204" pitchFamily="34" charset="0"/>
                    <a:cs typeface="Arial" panose="020B0604020202020204" pitchFamily="34" charset="0"/>
                  </a:rPr>
                  <a:t> percentile residues) in accordance with Tier 1 of the EFSA B&amp;M GD.</a:t>
                </a:r>
              </a:p>
              <a:p>
                <a:endParaRPr lang="en-GB" sz="1100" b="0" i="0" baseline="0">
                  <a:latin typeface="Arial" panose="020B0604020202020204" pitchFamily="34" charset="0"/>
                  <a:cs typeface="Arial" panose="020B0604020202020204" pitchFamily="34" charset="0"/>
                </a:endParaRPr>
              </a:p>
              <a:p>
                <a:r>
                  <a:rPr lang="en-GB" sz="1100" b="0" i="0" baseline="0">
                    <a:latin typeface="Arial" panose="020B0604020202020204" pitchFamily="34" charset="0"/>
                    <a:cs typeface="Arial" panose="020B0604020202020204" pitchFamily="34" charset="0"/>
                  </a:rPr>
                  <a:t>MAF</a:t>
                </a:r>
                <a:r>
                  <a:rPr lang="en-GB" sz="1100" b="0" i="0" baseline="-25000">
                    <a:latin typeface="Arial" panose="020B0604020202020204" pitchFamily="34" charset="0"/>
                    <a:cs typeface="Arial" panose="020B0604020202020204" pitchFamily="34" charset="0"/>
                  </a:rPr>
                  <a:t>90</a:t>
                </a:r>
                <a:r>
                  <a:rPr lang="en-GB" sz="1100" i="0" baseline="0">
                    <a:latin typeface="Arial" panose="020B0604020202020204" pitchFamily="34" charset="0"/>
                    <a:cs typeface="Arial" panose="020B0604020202020204" pitchFamily="34" charset="0"/>
                  </a:rPr>
                  <a:t> = Multiple application factor for the 90</a:t>
                </a:r>
                <a:r>
                  <a:rPr lang="en-GB" sz="1100" i="0" baseline="30000">
                    <a:latin typeface="Arial" panose="020B0604020202020204" pitchFamily="34" charset="0"/>
                    <a:cs typeface="Arial" panose="020B0604020202020204" pitchFamily="34" charset="0"/>
                  </a:rPr>
                  <a:t>th</a:t>
                </a:r>
                <a:r>
                  <a:rPr lang="en-GB" sz="1100" i="0" baseline="0">
                    <a:latin typeface="Arial" panose="020B0604020202020204" pitchFamily="34" charset="0"/>
                    <a:cs typeface="Arial" panose="020B0604020202020204" pitchFamily="34" charset="0"/>
                  </a:rPr>
                  <a:t> percentile residue data, if more than one applications are considered.</a:t>
                </a:r>
                <a:endParaRPr lang="en-GB" sz="1100" b="0" i="0" baseline="0">
                  <a:solidFill>
                    <a:schemeClr val="dk1"/>
                  </a:solidFill>
                  <a:effectLst/>
                  <a:latin typeface="Arial" panose="020B0604020202020204" pitchFamily="34" charset="0"/>
                  <a:ea typeface="+mn-ea"/>
                  <a:cs typeface="Arial" panose="020B0604020202020204" pitchFamily="34" charset="0"/>
                </a:endParaRPr>
              </a:p>
              <a:p>
                <a:endParaRPr lang="en-GB" sz="1100" b="0" i="0" baseline="0">
                  <a:solidFill>
                    <a:schemeClr val="dk1"/>
                  </a:solidFill>
                  <a:effectLst/>
                  <a:latin typeface="Arial" panose="020B0604020202020204" pitchFamily="34" charset="0"/>
                  <a:ea typeface="+mn-ea"/>
                  <a:cs typeface="Arial" panose="020B0604020202020204" pitchFamily="34" charset="0"/>
                </a:endParaRPr>
              </a:p>
              <a:p>
                <a:pPr/>
                <a:r>
                  <a:rPr lang="fi-FI" sz="1100" b="0" i="0">
                    <a:solidFill>
                      <a:schemeClr val="dk1"/>
                    </a:solidFill>
                    <a:effectLst/>
                    <a:latin typeface="Cambria Math" panose="02040503050406030204" pitchFamily="18" charset="0"/>
                    <a:ea typeface="+mn-ea"/>
                    <a:cs typeface="+mn-cs"/>
                  </a:rPr>
                  <a:t>TER(mix)=(LD_50</a:t>
                </a:r>
                <a:r>
                  <a:rPr lang="en-GB" sz="1100" b="0" i="0" baseline="30000">
                    <a:solidFill>
                      <a:schemeClr val="dk1"/>
                    </a:solidFill>
                    <a:effectLst/>
                    <a:latin typeface="Cambria Math" panose="02040503050406030204" pitchFamily="18" charset="0"/>
                    <a:ea typeface="+mn-ea"/>
                    <a:cs typeface="+mn-cs"/>
                  </a:rPr>
                  <a:t>#</a:t>
                </a:r>
                <a:r>
                  <a:rPr lang="fi-FI" sz="1100" b="0" i="0" baseline="30000">
                    <a:solidFill>
                      <a:schemeClr val="dk1"/>
                    </a:solidFill>
                    <a:effectLst/>
                    <a:latin typeface="Cambria Math" panose="02040503050406030204" pitchFamily="18" charset="0"/>
                    <a:ea typeface="+mn-ea"/>
                    <a:cs typeface="+mn-cs"/>
                  </a:rPr>
                  <a:t>)/</a:t>
                </a:r>
                <a:r>
                  <a:rPr lang="fi-FI" sz="1100" b="0" i="0">
                    <a:solidFill>
                      <a:schemeClr val="dk1"/>
                    </a:solidFill>
                    <a:effectLst/>
                    <a:latin typeface="Cambria Math" panose="02040503050406030204" pitchFamily="18" charset="0"/>
                    <a:ea typeface="+mn-ea"/>
                    <a:cs typeface="+mn-cs"/>
                  </a:rPr>
                  <a:t>DDD_90 </a:t>
                </a:r>
                <a:endParaRPr lang="en-GB" sz="1100" i="0">
                  <a:latin typeface="Arial" panose="020B0604020202020204" pitchFamily="34" charset="0"/>
                  <a:cs typeface="Arial" panose="020B0604020202020204" pitchFamily="34" charset="0"/>
                </a:endParaRPr>
              </a:p>
              <a:p>
                <a:endParaRPr lang="en-GB" sz="1100" i="0">
                  <a:latin typeface="Arial" panose="020B0604020202020204" pitchFamily="34" charset="0"/>
                  <a:cs typeface="Arial" panose="020B0604020202020204" pitchFamily="34" charset="0"/>
                </a:endParaRPr>
              </a:p>
              <a:p>
                <a:r>
                  <a:rPr lang="en-GB" sz="1100" i="0" baseline="30000">
                    <a:latin typeface="Arial" panose="020B0604020202020204" pitchFamily="34" charset="0"/>
                    <a:cs typeface="Arial" panose="020B0604020202020204" pitchFamily="34" charset="0"/>
                  </a:rPr>
                  <a:t>#</a:t>
                </a:r>
                <a:r>
                  <a:rPr lang="en-GB" sz="1100" i="0">
                    <a:latin typeface="Arial" panose="020B0604020202020204" pitchFamily="34" charset="0"/>
                    <a:cs typeface="Arial" panose="020B0604020202020204" pitchFamily="34" charset="0"/>
                  </a:rPr>
                  <a:t> Either the formulation</a:t>
                </a:r>
                <a:r>
                  <a:rPr lang="en-GB" sz="1100" i="0" baseline="0">
                    <a:latin typeface="Arial" panose="020B0604020202020204" pitchFamily="34" charset="0"/>
                    <a:cs typeface="Arial" panose="020B0604020202020204" pitchFamily="34" charset="0"/>
                  </a:rPr>
                  <a:t> endpoint, or the surrogate endpoint, depending on the available data and Step 1 - 2 calculations.</a:t>
                </a:r>
                <a:endParaRPr lang="en-GB" sz="1100" i="0">
                  <a:latin typeface="Arial" panose="020B0604020202020204" pitchFamily="34" charset="0"/>
                  <a:cs typeface="Arial" panose="020B0604020202020204" pitchFamily="34" charset="0"/>
                </a:endParaRPr>
              </a:p>
            </xdr:txBody>
          </xdr:sp>
        </mc:Fallback>
      </mc:AlternateContent>
    </xdr:grpSp>
    <xdr:clientData/>
  </xdr:twoCellAnchor>
  <xdr:twoCellAnchor editAs="absolute">
    <xdr:from>
      <xdr:col>2</xdr:col>
      <xdr:colOff>166613</xdr:colOff>
      <xdr:row>54</xdr:row>
      <xdr:rowOff>100979</xdr:rowOff>
    </xdr:from>
    <xdr:to>
      <xdr:col>2</xdr:col>
      <xdr:colOff>1511850</xdr:colOff>
      <xdr:row>59</xdr:row>
      <xdr:rowOff>210816</xdr:rowOff>
    </xdr:to>
    <mc:AlternateContent xmlns:mc="http://schemas.openxmlformats.org/markup-compatibility/2006" xmlns:sle15="http://schemas.microsoft.com/office/drawing/2012/slicer">
      <mc:Choice Requires="sle15">
        <xdr:graphicFrame macro="">
          <xdr:nvGraphicFramePr>
            <xdr:cNvPr id="4" name="M 1">
              <a:extLst>
                <a:ext uri="{FF2B5EF4-FFF2-40B4-BE49-F238E27FC236}">
                  <a16:creationId xmlns:a16="http://schemas.microsoft.com/office/drawing/2014/main" id="{31559F0F-963F-4CD5-9DAB-5D390F24C30D}"/>
                </a:ext>
              </a:extLst>
            </xdr:cNvPr>
            <xdr:cNvGraphicFramePr/>
          </xdr:nvGraphicFramePr>
          <xdr:xfrm>
            <a:off x="0" y="0"/>
            <a:ext cx="0" cy="0"/>
          </xdr:xfrm>
          <a:graphic>
            <a:graphicData uri="http://schemas.microsoft.com/office/drawing/2010/slicer">
              <sle:slicer xmlns:sle="http://schemas.microsoft.com/office/drawing/2010/slicer" name="M 1"/>
            </a:graphicData>
          </a:graphic>
        </xdr:graphicFrame>
      </mc:Choice>
      <mc:Fallback xmlns="">
        <xdr:sp macro="" textlink="">
          <xdr:nvSpPr>
            <xdr:cNvPr id="0" name=""/>
            <xdr:cNvSpPr>
              <a:spLocks noTextEdit="1"/>
            </xdr:cNvSpPr>
          </xdr:nvSpPr>
          <xdr:spPr>
            <a:xfrm>
              <a:off x="962231" y="12571766"/>
              <a:ext cx="1348293" cy="100462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777687</xdr:colOff>
      <xdr:row>6</xdr:row>
      <xdr:rowOff>22412</xdr:rowOff>
    </xdr:from>
    <xdr:to>
      <xdr:col>5</xdr:col>
      <xdr:colOff>1511112</xdr:colOff>
      <xdr:row>7</xdr:row>
      <xdr:rowOff>22412</xdr:rowOff>
    </xdr:to>
    <xdr:sp macro="" textlink="">
      <xdr:nvSpPr>
        <xdr:cNvPr id="14" name="TextBox 13">
          <a:extLst>
            <a:ext uri="{FF2B5EF4-FFF2-40B4-BE49-F238E27FC236}">
              <a16:creationId xmlns:a16="http://schemas.microsoft.com/office/drawing/2014/main" id="{38179745-8ABC-475C-B348-A91ECC3EAD86}"/>
            </a:ext>
          </a:extLst>
        </xdr:cNvPr>
        <xdr:cNvSpPr txBox="1"/>
      </xdr:nvSpPr>
      <xdr:spPr>
        <a:xfrm>
          <a:off x="777687" y="1165412"/>
          <a:ext cx="7759513" cy="728382"/>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6800" rtlCol="0" anchor="ctr"/>
        <a:lstStyle/>
        <a:p>
          <a:pPr algn="ctr"/>
          <a:r>
            <a:rPr lang="en-GB" sz="1100" b="1" i="0" u="none" strike="noStrike" baseline="0">
              <a:solidFill>
                <a:schemeClr val="dk1"/>
              </a:solidFill>
              <a:latin typeface="Arial" panose="020B0604020202020204" pitchFamily="34" charset="0"/>
              <a:ea typeface="+mn-ea"/>
              <a:cs typeface="Arial" panose="020B0604020202020204" pitchFamily="34" charset="0"/>
            </a:rPr>
            <a:t>Calculation of surrogate LD</a:t>
          </a:r>
          <a:r>
            <a:rPr lang="en-GB" sz="1100" b="1" i="0" u="none" strike="noStrike" baseline="-25000">
              <a:solidFill>
                <a:schemeClr val="dk1"/>
              </a:solidFill>
              <a:latin typeface="Arial" panose="020B0604020202020204" pitchFamily="34" charset="0"/>
              <a:ea typeface="+mn-ea"/>
              <a:cs typeface="Arial" panose="020B0604020202020204" pitchFamily="34" charset="0"/>
            </a:rPr>
            <a:t>50(mix) </a:t>
          </a:r>
          <a:r>
            <a:rPr lang="en-GB" sz="1100" b="1" i="0" u="none" strike="noStrike" baseline="0">
              <a:solidFill>
                <a:schemeClr val="dk1"/>
              </a:solidFill>
              <a:latin typeface="Arial" panose="020B0604020202020204" pitchFamily="34" charset="0"/>
              <a:ea typeface="+mn-ea"/>
              <a:cs typeface="Arial" panose="020B0604020202020204" pitchFamily="34" charset="0"/>
            </a:rPr>
            <a:t>values for acute effects (mortality)</a:t>
          </a:r>
        </a:p>
        <a:p>
          <a:r>
            <a:rPr lang="en-GB" sz="1100" b="0" i="0" u="none" strike="noStrike" baseline="0">
              <a:solidFill>
                <a:schemeClr val="dk1"/>
              </a:solidFill>
              <a:latin typeface="Arial" panose="020B0604020202020204" pitchFamily="34" charset="0"/>
              <a:ea typeface="+mn-ea"/>
              <a:cs typeface="Arial" panose="020B0604020202020204" pitchFamily="34" charset="0"/>
            </a:rPr>
            <a:t>	1) Calculation of toxicity per fraction for the mixture (tpf</a:t>
          </a:r>
          <a:r>
            <a:rPr lang="en-GB" sz="1100" b="0" i="0" u="none" strike="noStrike" baseline="-25000">
              <a:solidFill>
                <a:schemeClr val="dk1"/>
              </a:solidFill>
              <a:latin typeface="Arial" panose="020B0604020202020204" pitchFamily="34" charset="0"/>
              <a:ea typeface="+mn-ea"/>
              <a:cs typeface="Arial" panose="020B0604020202020204" pitchFamily="34" charset="0"/>
            </a:rPr>
            <a:t>(mix)</a:t>
          </a:r>
          <a:r>
            <a:rPr lang="en-GB" sz="1100" b="0" i="0" u="none" strike="noStrike" baseline="0">
              <a:solidFill>
                <a:schemeClr val="dk1"/>
              </a:solidFill>
              <a:latin typeface="Arial" panose="020B0604020202020204" pitchFamily="34" charset="0"/>
              <a:ea typeface="+mn-ea"/>
              <a:cs typeface="Arial" panose="020B0604020202020204" pitchFamily="34" charset="0"/>
            </a:rPr>
            <a:t>), which is equal to the surrogate LD</a:t>
          </a:r>
          <a:r>
            <a:rPr lang="en-GB" sz="1100" b="0" i="0" u="none" strike="noStrike" baseline="-25000">
              <a:solidFill>
                <a:schemeClr val="dk1"/>
              </a:solidFill>
              <a:latin typeface="Arial" panose="020B0604020202020204" pitchFamily="34" charset="0"/>
              <a:ea typeface="+mn-ea"/>
              <a:cs typeface="Arial" panose="020B0604020202020204" pitchFamily="34" charset="0"/>
            </a:rPr>
            <a:t>50 (mix)</a:t>
          </a:r>
        </a:p>
        <a:p>
          <a:r>
            <a:rPr lang="en-GB" sz="1100" b="0" i="0" u="none" strike="noStrike" baseline="0">
              <a:solidFill>
                <a:schemeClr val="dk1"/>
              </a:solidFill>
              <a:latin typeface="Arial" panose="020B0604020202020204" pitchFamily="34" charset="0"/>
              <a:ea typeface="+mn-ea"/>
              <a:cs typeface="Arial" panose="020B0604020202020204" pitchFamily="34" charset="0"/>
            </a:rPr>
            <a:t>	2) Calculation of toxicity per fraction for each single active substance (tpf</a:t>
          </a:r>
          <a:r>
            <a:rPr lang="en-GB" sz="1100" b="0" i="0" u="none" strike="noStrike" baseline="-25000">
              <a:solidFill>
                <a:schemeClr val="dk1"/>
              </a:solidFill>
              <a:latin typeface="Arial" panose="020B0604020202020204" pitchFamily="34" charset="0"/>
              <a:ea typeface="+mn-ea"/>
              <a:cs typeface="Arial" panose="020B0604020202020204" pitchFamily="34" charset="0"/>
            </a:rPr>
            <a:t>(a.s.i)</a:t>
          </a:r>
          <a:r>
            <a:rPr lang="en-GB" sz="1100" b="0" i="0" u="none" strike="noStrike" baseline="0">
              <a:solidFill>
                <a:schemeClr val="dk1"/>
              </a:solidFill>
              <a:latin typeface="Arial" panose="020B0604020202020204" pitchFamily="34" charset="0"/>
              <a:ea typeface="+mn-ea"/>
              <a:cs typeface="Arial" panose="020B0604020202020204" pitchFamily="34" charset="0"/>
            </a:rPr>
            <a:t>)</a:t>
          </a:r>
        </a:p>
        <a:p>
          <a:endParaRPr lang="en-GB" sz="1100" b="0" i="0" u="none" strike="noStrike" baseline="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0</xdr:col>
      <xdr:colOff>762000</xdr:colOff>
      <xdr:row>7</xdr:row>
      <xdr:rowOff>113676</xdr:rowOff>
    </xdr:from>
    <xdr:to>
      <xdr:col>5</xdr:col>
      <xdr:colOff>1501589</xdr:colOff>
      <xdr:row>9</xdr:row>
      <xdr:rowOff>3361</xdr:rowOff>
    </xdr:to>
    <xdr:sp macro="" textlink="">
      <xdr:nvSpPr>
        <xdr:cNvPr id="15" name="TextBox 14">
          <a:extLst>
            <a:ext uri="{FF2B5EF4-FFF2-40B4-BE49-F238E27FC236}">
              <a16:creationId xmlns:a16="http://schemas.microsoft.com/office/drawing/2014/main" id="{DB9CBBEB-631C-463F-8394-B6F28363A7B3}"/>
            </a:ext>
          </a:extLst>
        </xdr:cNvPr>
        <xdr:cNvSpPr txBox="1"/>
      </xdr:nvSpPr>
      <xdr:spPr>
        <a:xfrm>
          <a:off x="762000" y="1985058"/>
          <a:ext cx="7765677" cy="819774"/>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rIns="144000" bIns="46800" rtlCol="0" anchor="ctr"/>
        <a:lstStyle/>
        <a:p>
          <a:pPr algn="ctr"/>
          <a:r>
            <a:rPr lang="en-GB" sz="1100" b="1" i="0" u="none" strike="noStrike" baseline="0">
              <a:solidFill>
                <a:schemeClr val="dk1"/>
              </a:solidFill>
              <a:latin typeface="Arial" panose="020B0604020202020204" pitchFamily="34" charset="0"/>
              <a:ea typeface="+mn-ea"/>
              <a:cs typeface="Arial" panose="020B0604020202020204" pitchFamily="34" charset="0"/>
            </a:rPr>
            <a:t>Assessment of single substance driver</a:t>
          </a:r>
        </a:p>
        <a:p>
          <a:pPr algn="ctr"/>
          <a:r>
            <a:rPr lang="en-GB" sz="1100" b="0" i="0" u="none" strike="noStrike" baseline="0">
              <a:solidFill>
                <a:schemeClr val="dk1"/>
              </a:solidFill>
              <a:latin typeface="Arial" panose="020B0604020202020204" pitchFamily="34" charset="0"/>
              <a:ea typeface="+mn-ea"/>
              <a:cs typeface="Arial" panose="020B0604020202020204" pitchFamily="34" charset="0"/>
            </a:rPr>
            <a:t>     The ratio of tpf</a:t>
          </a:r>
          <a:r>
            <a:rPr lang="en-GB" sz="1100" b="0" i="0" u="none" strike="noStrike" baseline="-25000">
              <a:solidFill>
                <a:schemeClr val="dk1"/>
              </a:solidFill>
              <a:latin typeface="Arial" panose="020B0604020202020204" pitchFamily="34" charset="0"/>
              <a:ea typeface="+mn-ea"/>
              <a:cs typeface="Arial" panose="020B0604020202020204" pitchFamily="34" charset="0"/>
            </a:rPr>
            <a:t>(mix)</a:t>
          </a:r>
          <a:r>
            <a:rPr lang="en-GB" sz="1100" b="0" i="0" u="none" strike="noStrike" baseline="0">
              <a:solidFill>
                <a:schemeClr val="dk1"/>
              </a:solidFill>
              <a:latin typeface="Arial" panose="020B0604020202020204" pitchFamily="34" charset="0"/>
              <a:ea typeface="+mn-ea"/>
              <a:cs typeface="Arial" panose="020B0604020202020204" pitchFamily="34" charset="0"/>
            </a:rPr>
            <a:t> and tpf</a:t>
          </a:r>
          <a:r>
            <a:rPr lang="en-GB" sz="1100" b="0" i="0" u="none" strike="noStrike" baseline="-25000">
              <a:solidFill>
                <a:schemeClr val="dk1"/>
              </a:solidFill>
              <a:latin typeface="Arial" panose="020B0604020202020204" pitchFamily="34" charset="0"/>
              <a:ea typeface="+mn-ea"/>
              <a:cs typeface="Arial" panose="020B0604020202020204" pitchFamily="34" charset="0"/>
            </a:rPr>
            <a:t>(a.s.i)</a:t>
          </a:r>
          <a:r>
            <a:rPr lang="en-GB" sz="1100" b="0" i="0" u="none" strike="noStrike" baseline="0">
              <a:solidFill>
                <a:schemeClr val="dk1"/>
              </a:solidFill>
              <a:latin typeface="Arial" panose="020B0604020202020204" pitchFamily="34" charset="0"/>
              <a:ea typeface="+mn-ea"/>
              <a:cs typeface="Arial" panose="020B0604020202020204" pitchFamily="34" charset="0"/>
            </a:rPr>
            <a:t> is calculated for each active substance. If the deviation of tpf</a:t>
          </a:r>
          <a:r>
            <a:rPr lang="en-GB" sz="1100" b="0" i="0" u="none" strike="noStrike" baseline="-25000">
              <a:solidFill>
                <a:schemeClr val="dk1"/>
              </a:solidFill>
              <a:latin typeface="Arial" panose="020B0604020202020204" pitchFamily="34" charset="0"/>
              <a:ea typeface="+mn-ea"/>
              <a:cs typeface="Arial" panose="020B0604020202020204" pitchFamily="34" charset="0"/>
            </a:rPr>
            <a:t>(a.s.i)</a:t>
          </a:r>
          <a:r>
            <a:rPr lang="en-GB" sz="1100" b="0" i="0" u="none" strike="noStrike" baseline="0">
              <a:solidFill>
                <a:schemeClr val="dk1"/>
              </a:solidFill>
              <a:latin typeface="Arial" panose="020B0604020202020204" pitchFamily="34" charset="0"/>
              <a:ea typeface="+mn-ea"/>
              <a:cs typeface="Arial" panose="020B0604020202020204" pitchFamily="34" charset="0"/>
            </a:rPr>
            <a:t> from tpf</a:t>
          </a:r>
          <a:r>
            <a:rPr lang="en-GB" sz="1100" b="0" i="0" u="none" strike="noStrike" baseline="-25000">
              <a:solidFill>
                <a:schemeClr val="dk1"/>
              </a:solidFill>
              <a:latin typeface="Arial" panose="020B0604020202020204" pitchFamily="34" charset="0"/>
              <a:ea typeface="+mn-ea"/>
              <a:cs typeface="Arial" panose="020B0604020202020204" pitchFamily="34" charset="0"/>
            </a:rPr>
            <a:t>(mix)</a:t>
          </a:r>
          <a:r>
            <a:rPr lang="en-GB" sz="1100" b="0" i="0" u="none" strike="noStrike" baseline="0">
              <a:solidFill>
                <a:schemeClr val="dk1"/>
              </a:solidFill>
              <a:latin typeface="Arial" panose="020B0604020202020204" pitchFamily="34" charset="0"/>
              <a:ea typeface="+mn-ea"/>
              <a:cs typeface="Arial" panose="020B0604020202020204" pitchFamily="34" charset="0"/>
            </a:rPr>
            <a:t> is ≤ 10 % for any substance, that substance is considered to contribute ≥ 90 % of the calculated mixture toxicity and the assessment can be based on that substance alone.</a:t>
          </a:r>
        </a:p>
        <a:p>
          <a:endParaRPr lang="en-GB" sz="1100" b="0" i="0" u="none" strike="noStrike" baseline="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0</xdr:col>
      <xdr:colOff>767797</xdr:colOff>
      <xdr:row>40</xdr:row>
      <xdr:rowOff>100214</xdr:rowOff>
    </xdr:from>
    <xdr:to>
      <xdr:col>5</xdr:col>
      <xdr:colOff>1228526</xdr:colOff>
      <xdr:row>45</xdr:row>
      <xdr:rowOff>132674</xdr:rowOff>
    </xdr:to>
    <xdr:grpSp>
      <xdr:nvGrpSpPr>
        <xdr:cNvPr id="16" name="Group 15">
          <a:extLst>
            <a:ext uri="{FF2B5EF4-FFF2-40B4-BE49-F238E27FC236}">
              <a16:creationId xmlns:a16="http://schemas.microsoft.com/office/drawing/2014/main" id="{B1EC434A-DE6C-4CAD-9501-5D6EEE4038D3}"/>
            </a:ext>
          </a:extLst>
        </xdr:cNvPr>
        <xdr:cNvGrpSpPr/>
      </xdr:nvGrpSpPr>
      <xdr:grpSpPr>
        <a:xfrm>
          <a:off x="767797" y="10110989"/>
          <a:ext cx="7490179" cy="870660"/>
          <a:chOff x="800100" y="10807844"/>
          <a:chExt cx="7483334" cy="882344"/>
        </a:xfrm>
      </xdr:grpSpPr>
      <xdr:grpSp>
        <xdr:nvGrpSpPr>
          <xdr:cNvPr id="17" name="Group 16">
            <a:extLst>
              <a:ext uri="{FF2B5EF4-FFF2-40B4-BE49-F238E27FC236}">
                <a16:creationId xmlns:a16="http://schemas.microsoft.com/office/drawing/2014/main" id="{FE403CB8-5712-4B28-B79C-43A58974710F}"/>
              </a:ext>
            </a:extLst>
          </xdr:cNvPr>
          <xdr:cNvGrpSpPr/>
        </xdr:nvGrpSpPr>
        <xdr:grpSpPr>
          <a:xfrm>
            <a:off x="800100" y="10807844"/>
            <a:ext cx="7483067" cy="882179"/>
            <a:chOff x="800100" y="10807844"/>
            <a:chExt cx="7483067" cy="882179"/>
          </a:xfrm>
        </xdr:grpSpPr>
        <xdr:sp macro="" textlink="">
          <xdr:nvSpPr>
            <xdr:cNvPr id="19" name="TextBox 18">
              <a:extLst>
                <a:ext uri="{FF2B5EF4-FFF2-40B4-BE49-F238E27FC236}">
                  <a16:creationId xmlns:a16="http://schemas.microsoft.com/office/drawing/2014/main" id="{685D45F1-1157-4001-9BB6-7A4264534280}"/>
                </a:ext>
              </a:extLst>
            </xdr:cNvPr>
            <xdr:cNvSpPr txBox="1"/>
          </xdr:nvSpPr>
          <xdr:spPr>
            <a:xfrm>
              <a:off x="800100" y="10807844"/>
              <a:ext cx="7483067" cy="502408"/>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6800" rtlCol="0" anchor="ctr"/>
            <a:lstStyle/>
            <a:p>
              <a:pPr algn="ctr"/>
              <a:r>
                <a:rPr lang="en-GB" sz="1100" b="0" i="0" u="none" strike="noStrike" baseline="0">
                  <a:solidFill>
                    <a:schemeClr val="dk1"/>
                  </a:solidFill>
                  <a:latin typeface="Arial" panose="020B0604020202020204" pitchFamily="34" charset="0"/>
                  <a:ea typeface="+mn-ea"/>
                  <a:cs typeface="Arial" panose="020B0604020202020204" pitchFamily="34" charset="0"/>
                </a:rPr>
                <a:t>Scenario-input is used in the Tier 1 assessment, together with the endpoint indicated below.</a:t>
              </a:r>
            </a:p>
            <a:p>
              <a:pPr algn="ctr"/>
              <a:r>
                <a:rPr lang="en-GB" sz="1100" b="0" i="0" u="none" strike="noStrike" baseline="0">
                  <a:solidFill>
                    <a:schemeClr val="dk1"/>
                  </a:solidFill>
                  <a:latin typeface="Arial" panose="020B0604020202020204" pitchFamily="34" charset="0"/>
                  <a:ea typeface="+mn-ea"/>
                  <a:cs typeface="Arial" panose="020B0604020202020204" pitchFamily="34" charset="0"/>
                </a:rPr>
                <a:t>Filter the table below for relevant scenarios. Column TER</a:t>
              </a:r>
              <a:r>
                <a:rPr lang="en-GB" sz="1100" b="0" i="0" u="none" strike="noStrike" baseline="-25000">
                  <a:solidFill>
                    <a:schemeClr val="dk1"/>
                  </a:solidFill>
                  <a:latin typeface="Arial" panose="020B0604020202020204" pitchFamily="34" charset="0"/>
                  <a:ea typeface="+mn-ea"/>
                  <a:cs typeface="Arial" panose="020B0604020202020204" pitchFamily="34" charset="0"/>
                </a:rPr>
                <a:t>mix</a:t>
              </a:r>
              <a:r>
                <a:rPr lang="en-GB" sz="1100" b="0" i="0" u="none" strike="noStrike" baseline="0">
                  <a:solidFill>
                    <a:schemeClr val="dk1"/>
                  </a:solidFill>
                  <a:latin typeface="Arial" panose="020B0604020202020204" pitchFamily="34" charset="0"/>
                  <a:ea typeface="+mn-ea"/>
                  <a:cs typeface="Arial" panose="020B0604020202020204" pitchFamily="34" charset="0"/>
                </a:rPr>
                <a:t> indicates whether the risk is acceptable or not:</a:t>
              </a:r>
            </a:p>
          </xdr:txBody>
        </xdr:sp>
        <xdr:sp macro="" textlink="">
          <xdr:nvSpPr>
            <xdr:cNvPr id="20" name="TextBox 19">
              <a:extLst>
                <a:ext uri="{FF2B5EF4-FFF2-40B4-BE49-F238E27FC236}">
                  <a16:creationId xmlns:a16="http://schemas.microsoft.com/office/drawing/2014/main" id="{5576F99E-A2CF-41AF-9FB6-6F9C5B48300C}"/>
                </a:ext>
              </a:extLst>
            </xdr:cNvPr>
            <xdr:cNvSpPr txBox="1"/>
          </xdr:nvSpPr>
          <xdr:spPr>
            <a:xfrm>
              <a:off x="800143" y="11308614"/>
              <a:ext cx="3741064" cy="381409"/>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000" b="0" i="0" u="none" strike="noStrike" baseline="0">
                  <a:solidFill>
                    <a:schemeClr val="accent6">
                      <a:lumMod val="50000"/>
                    </a:schemeClr>
                  </a:solidFill>
                  <a:latin typeface="Arial" panose="020B0604020202020204" pitchFamily="34" charset="0"/>
                  <a:ea typeface="+mn-ea"/>
                  <a:cs typeface="Arial" panose="020B0604020202020204" pitchFamily="34" charset="0"/>
                </a:rPr>
                <a:t>No unacceptable risk. </a:t>
              </a:r>
            </a:p>
            <a:p>
              <a:pPr algn="ctr"/>
              <a:r>
                <a:rPr lang="en-GB" sz="1000" b="0" i="0" u="none" strike="noStrike" baseline="0">
                  <a:solidFill>
                    <a:schemeClr val="accent6">
                      <a:lumMod val="50000"/>
                    </a:schemeClr>
                  </a:solidFill>
                  <a:latin typeface="Arial" panose="020B0604020202020204" pitchFamily="34" charset="0"/>
                  <a:ea typeface="+mn-ea"/>
                  <a:cs typeface="Arial" panose="020B0604020202020204" pitchFamily="34" charset="0"/>
                </a:rPr>
                <a:t>TER</a:t>
              </a:r>
              <a:r>
                <a:rPr lang="en-GB" sz="1000" b="0" i="0" u="none" strike="noStrike" baseline="-25000">
                  <a:solidFill>
                    <a:schemeClr val="accent6">
                      <a:lumMod val="50000"/>
                    </a:schemeClr>
                  </a:solidFill>
                  <a:latin typeface="Arial" panose="020B0604020202020204" pitchFamily="34" charset="0"/>
                  <a:ea typeface="+mn-ea"/>
                  <a:cs typeface="Arial" panose="020B0604020202020204" pitchFamily="34" charset="0"/>
                </a:rPr>
                <a:t>mix</a:t>
              </a:r>
              <a:r>
                <a:rPr lang="en-GB" sz="1000" b="0" i="0" u="none" strike="noStrike" baseline="0">
                  <a:solidFill>
                    <a:schemeClr val="accent6">
                      <a:lumMod val="50000"/>
                    </a:schemeClr>
                  </a:solidFill>
                  <a:latin typeface="Arial" panose="020B0604020202020204" pitchFamily="34" charset="0"/>
                  <a:ea typeface="+mn-ea"/>
                  <a:cs typeface="Arial" panose="020B0604020202020204" pitchFamily="34" charset="0"/>
                </a:rPr>
                <a:t> is above the standard trigger of 10.</a:t>
              </a:r>
            </a:p>
          </xdr:txBody>
        </xdr:sp>
      </xdr:grpSp>
      <xdr:sp macro="" textlink="">
        <xdr:nvSpPr>
          <xdr:cNvPr id="18" name="TextBox 17">
            <a:extLst>
              <a:ext uri="{FF2B5EF4-FFF2-40B4-BE49-F238E27FC236}">
                <a16:creationId xmlns:a16="http://schemas.microsoft.com/office/drawing/2014/main" id="{65EDBE16-9974-421C-9C0E-1782A735ADEF}"/>
              </a:ext>
            </a:extLst>
          </xdr:cNvPr>
          <xdr:cNvSpPr txBox="1"/>
        </xdr:nvSpPr>
        <xdr:spPr>
          <a:xfrm>
            <a:off x="4541165" y="11308613"/>
            <a:ext cx="3742269" cy="381575"/>
          </a:xfrm>
          <a:prstGeom prst="rect">
            <a:avLst/>
          </a:prstGeom>
          <a:solidFill>
            <a:srgbClr val="FFAFA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000" b="0" i="0" u="none" strike="noStrike" baseline="0">
                <a:solidFill>
                  <a:srgbClr val="A80000"/>
                </a:solidFill>
                <a:latin typeface="Arial" panose="020B0604020202020204" pitchFamily="34" charset="0"/>
                <a:ea typeface="+mn-ea"/>
                <a:cs typeface="Arial" panose="020B0604020202020204" pitchFamily="34" charset="0"/>
              </a:rPr>
              <a:t>Unacceptable risk. </a:t>
            </a:r>
          </a:p>
          <a:p>
            <a:pPr algn="ctr"/>
            <a:r>
              <a:rPr lang="en-GB" sz="1000" b="0" i="0" u="none" strike="noStrike" baseline="0">
                <a:solidFill>
                  <a:srgbClr val="A80000"/>
                </a:solidFill>
                <a:latin typeface="Arial" panose="020B0604020202020204" pitchFamily="34" charset="0"/>
                <a:ea typeface="+mn-ea"/>
                <a:cs typeface="Arial" panose="020B0604020202020204" pitchFamily="34" charset="0"/>
              </a:rPr>
              <a:t>TER</a:t>
            </a:r>
            <a:r>
              <a:rPr lang="en-GB" sz="1000" b="0" i="0" u="none" strike="noStrike" baseline="-25000">
                <a:solidFill>
                  <a:srgbClr val="A80000"/>
                </a:solidFill>
                <a:latin typeface="Arial" panose="020B0604020202020204" pitchFamily="34" charset="0"/>
                <a:ea typeface="+mn-ea"/>
                <a:cs typeface="Arial" panose="020B0604020202020204" pitchFamily="34" charset="0"/>
              </a:rPr>
              <a:t>mix</a:t>
            </a:r>
            <a:r>
              <a:rPr lang="en-GB" sz="1000" b="0" i="0" u="none" strike="noStrike" baseline="0">
                <a:solidFill>
                  <a:srgbClr val="A80000"/>
                </a:solidFill>
                <a:latin typeface="Arial" panose="020B0604020202020204" pitchFamily="34" charset="0"/>
                <a:ea typeface="+mn-ea"/>
                <a:cs typeface="Arial" panose="020B0604020202020204" pitchFamily="34" charset="0"/>
              </a:rPr>
              <a:t> is below the standard trigger of 10.</a:t>
            </a:r>
          </a:p>
        </xdr:txBody>
      </xdr:sp>
    </xdr:grpSp>
    <xdr:clientData/>
  </xdr:twoCellAnchor>
  <xdr:twoCellAnchor>
    <xdr:from>
      <xdr:col>0</xdr:col>
      <xdr:colOff>795617</xdr:colOff>
      <xdr:row>192</xdr:row>
      <xdr:rowOff>1</xdr:rowOff>
    </xdr:from>
    <xdr:to>
      <xdr:col>8</xdr:col>
      <xdr:colOff>1042146</xdr:colOff>
      <xdr:row>204</xdr:row>
      <xdr:rowOff>1</xdr:rowOff>
    </xdr:to>
    <xdr:sp macro="" textlink="">
      <xdr:nvSpPr>
        <xdr:cNvPr id="21" name="TextBox 20">
          <a:extLst>
            <a:ext uri="{FF2B5EF4-FFF2-40B4-BE49-F238E27FC236}">
              <a16:creationId xmlns:a16="http://schemas.microsoft.com/office/drawing/2014/main" id="{ED870379-8008-4492-95C8-71D98F0B222D}"/>
            </a:ext>
          </a:extLst>
        </xdr:cNvPr>
        <xdr:cNvSpPr txBox="1"/>
      </xdr:nvSpPr>
      <xdr:spPr>
        <a:xfrm>
          <a:off x="795617" y="21941119"/>
          <a:ext cx="12438529" cy="1255058"/>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6800" rtlCol="0" anchor="ctr"/>
        <a:lstStyle/>
        <a:p>
          <a:r>
            <a:rPr lang="en-GB" sz="1100" b="1">
              <a:solidFill>
                <a:schemeClr val="dk1"/>
              </a:solidFill>
              <a:effectLst/>
              <a:latin typeface="+mn-lt"/>
              <a:ea typeface="+mn-ea"/>
              <a:cs typeface="+mn-cs"/>
            </a:rPr>
            <a:t>Northern Zone Guidance Document (2021 version)*</a:t>
          </a:r>
          <a:br>
            <a:rPr lang="en-GB" sz="1100" b="1">
              <a:solidFill>
                <a:schemeClr val="dk1"/>
              </a:solidFill>
              <a:effectLst/>
              <a:latin typeface="+mn-lt"/>
              <a:ea typeface="+mn-ea"/>
              <a:cs typeface="+mn-cs"/>
            </a:rPr>
          </a:br>
          <a:r>
            <a:rPr lang="en-GB" sz="1100">
              <a:solidFill>
                <a:schemeClr val="dk1"/>
              </a:solidFill>
              <a:effectLst/>
              <a:latin typeface="+mn-lt"/>
              <a:ea typeface="+mn-ea"/>
              <a:cs typeface="+mn-cs"/>
            </a:rPr>
            <a:t>No refinements of the EFSA tier 1 assessment scenarios are accepted, except that MAF- and TWA-factors may be refined if adequate substance specific data on DT</a:t>
          </a:r>
          <a:r>
            <a:rPr lang="en-GB" sz="1100" baseline="-25000">
              <a:solidFill>
                <a:schemeClr val="dk1"/>
              </a:solidFill>
              <a:effectLst/>
              <a:latin typeface="+mn-lt"/>
              <a:ea typeface="+mn-ea"/>
              <a:cs typeface="+mn-cs"/>
            </a:rPr>
            <a:t>50</a:t>
          </a:r>
          <a:r>
            <a:rPr lang="en-GB" sz="1100">
              <a:solidFill>
                <a:schemeClr val="dk1"/>
              </a:solidFill>
              <a:effectLst/>
              <a:latin typeface="+mn-lt"/>
              <a:ea typeface="+mn-ea"/>
              <a:cs typeface="+mn-cs"/>
            </a:rPr>
            <a:t> in plants are available. Please refer to the Northern Zone Higher Tie guidance document, section 4.4 for requirements concerning refinement of DT</a:t>
          </a:r>
          <a:r>
            <a:rPr lang="en-GB" sz="1100" baseline="-25000">
              <a:solidFill>
                <a:schemeClr val="dk1"/>
              </a:solidFill>
              <a:effectLst/>
              <a:latin typeface="+mn-lt"/>
              <a:ea typeface="+mn-ea"/>
              <a:cs typeface="+mn-cs"/>
            </a:rPr>
            <a:t>50</a:t>
          </a:r>
          <a:r>
            <a:rPr lang="en-GB" sz="1100">
              <a:solidFill>
                <a:schemeClr val="dk1"/>
              </a:solidFill>
              <a:effectLst/>
              <a:latin typeface="+mn-lt"/>
              <a:ea typeface="+mn-ea"/>
              <a:cs typeface="+mn-cs"/>
            </a:rPr>
            <a:t>.</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When further refinements of the risk assessment are necessary, the Northern Zone higher tier guidance document describing relevant scenarios to be used in a higher tier risk assessment should be used together with the associated spreadsheet.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When a higher tier assessment is triggered, by any generic focal species at Tier 1 in a crop/growth stage scenario, the risk should be assessed for all NZ higher tier focal species relevant for that crop/growth stage scenario. All focal species required for the crop and growth stage in question according to the Northern Zone higher tier guidance document are relevant, even if the focal species were already assessed as generic focal species at tier 1. The main reason for this is that the tier 1 scenarios are not necessarily worst case with respect to diet in the Northern Zone, where some of the generic focal species are rare or missing and the niches of the remaining focal species may thus be broader. Higher tier TER calculations are however not required for generic focal species which passed the trigger by a factor of 2 or more at tier 1.</a:t>
          </a:r>
          <a:endParaRPr lang="fi-FI"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1228725</xdr:colOff>
      <xdr:row>18</xdr:row>
      <xdr:rowOff>177062</xdr:rowOff>
    </xdr:from>
    <xdr:to>
      <xdr:col>5</xdr:col>
      <xdr:colOff>685799</xdr:colOff>
      <xdr:row>29</xdr:row>
      <xdr:rowOff>214276</xdr:rowOff>
    </xdr:to>
    <mc:AlternateContent xmlns:mc="http://schemas.openxmlformats.org/markup-compatibility/2006" xmlns:sle15="http://schemas.microsoft.com/office/drawing/2012/slicer">
      <mc:Choice Requires="sle15">
        <xdr:graphicFrame macro="">
          <xdr:nvGraphicFramePr>
            <xdr:cNvPr id="2" name="Crop 1">
              <a:extLst>
                <a:ext uri="{FF2B5EF4-FFF2-40B4-BE49-F238E27FC236}">
                  <a16:creationId xmlns:a16="http://schemas.microsoft.com/office/drawing/2014/main" id="{974D6B3F-9DA0-4AE5-9146-B5B041530078}"/>
                </a:ext>
              </a:extLst>
            </xdr:cNvPr>
            <xdr:cNvGraphicFramePr/>
          </xdr:nvGraphicFramePr>
          <xdr:xfrm>
            <a:off x="0" y="0"/>
            <a:ext cx="0" cy="0"/>
          </xdr:xfrm>
          <a:graphic>
            <a:graphicData uri="http://schemas.microsoft.com/office/drawing/2010/slicer">
              <sle:slicer xmlns:sle="http://schemas.microsoft.com/office/drawing/2010/slicer" name="Crop 1"/>
            </a:graphicData>
          </a:graphic>
        </xdr:graphicFrame>
      </mc:Choice>
      <mc:Fallback xmlns="">
        <xdr:sp macro="" textlink="">
          <xdr:nvSpPr>
            <xdr:cNvPr id="0" name=""/>
            <xdr:cNvSpPr>
              <a:spLocks noTextEdit="1"/>
            </xdr:cNvSpPr>
          </xdr:nvSpPr>
          <xdr:spPr>
            <a:xfrm>
              <a:off x="1999008" y="3697171"/>
              <a:ext cx="4832487" cy="2074735"/>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5</xdr:col>
      <xdr:colOff>704850</xdr:colOff>
      <xdr:row>18</xdr:row>
      <xdr:rowOff>210757</xdr:rowOff>
    </xdr:from>
    <xdr:to>
      <xdr:col>10</xdr:col>
      <xdr:colOff>38100</xdr:colOff>
      <xdr:row>28</xdr:row>
      <xdr:rowOff>165696</xdr:rowOff>
    </xdr:to>
    <mc:AlternateContent xmlns:mc="http://schemas.openxmlformats.org/markup-compatibility/2006" xmlns:sle15="http://schemas.microsoft.com/office/drawing/2012/slicer">
      <mc:Choice Requires="sle15">
        <xdr:graphicFrame macro="">
          <xdr:nvGraphicFramePr>
            <xdr:cNvPr id="5" name="BBCH Scenario 1">
              <a:extLst>
                <a:ext uri="{FF2B5EF4-FFF2-40B4-BE49-F238E27FC236}">
                  <a16:creationId xmlns:a16="http://schemas.microsoft.com/office/drawing/2014/main" id="{6742063A-D6C6-40FF-AE9C-52C63B2E2C29}"/>
                </a:ext>
              </a:extLst>
            </xdr:cNvPr>
            <xdr:cNvGraphicFramePr/>
          </xdr:nvGraphicFramePr>
          <xdr:xfrm>
            <a:off x="0" y="0"/>
            <a:ext cx="0" cy="0"/>
          </xdr:xfrm>
          <a:graphic>
            <a:graphicData uri="http://schemas.microsoft.com/office/drawing/2010/slicer">
              <sle:slicer xmlns:sle="http://schemas.microsoft.com/office/drawing/2010/slicer" name="BBCH Scenario 1"/>
            </a:graphicData>
          </a:graphic>
        </xdr:graphicFrame>
      </mc:Choice>
      <mc:Fallback xmlns="">
        <xdr:sp macro="" textlink="">
          <xdr:nvSpPr>
            <xdr:cNvPr id="0" name=""/>
            <xdr:cNvSpPr>
              <a:spLocks noTextEdit="1"/>
            </xdr:cNvSpPr>
          </xdr:nvSpPr>
          <xdr:spPr>
            <a:xfrm>
              <a:off x="6850546" y="3730866"/>
              <a:ext cx="4253119" cy="1810243"/>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0</xdr:col>
      <xdr:colOff>705971</xdr:colOff>
      <xdr:row>23</xdr:row>
      <xdr:rowOff>16415</xdr:rowOff>
    </xdr:from>
    <xdr:to>
      <xdr:col>2</xdr:col>
      <xdr:colOff>1190224</xdr:colOff>
      <xdr:row>29</xdr:row>
      <xdr:rowOff>3933</xdr:rowOff>
    </xdr:to>
    <mc:AlternateContent xmlns:mc="http://schemas.openxmlformats.org/markup-compatibility/2006" xmlns:sle15="http://schemas.microsoft.com/office/drawing/2012/slicer">
      <mc:Choice Requires="sle15">
        <xdr:graphicFrame macro="">
          <xdr:nvGraphicFramePr>
            <xdr:cNvPr id="4" name="Relevance 2">
              <a:extLst>
                <a:ext uri="{FF2B5EF4-FFF2-40B4-BE49-F238E27FC236}">
                  <a16:creationId xmlns:a16="http://schemas.microsoft.com/office/drawing/2014/main" id="{4E3E7B1E-6AB2-4B07-BD3B-1E6BE5F78D8F}"/>
                </a:ext>
              </a:extLst>
            </xdr:cNvPr>
            <xdr:cNvGraphicFramePr/>
          </xdr:nvGraphicFramePr>
          <xdr:xfrm>
            <a:off x="0" y="0"/>
            <a:ext cx="0" cy="0"/>
          </xdr:xfrm>
          <a:graphic>
            <a:graphicData uri="http://schemas.microsoft.com/office/drawing/2010/slicer">
              <sle:slicer xmlns:sle="http://schemas.microsoft.com/office/drawing/2010/slicer" name="Relevance 2"/>
            </a:graphicData>
          </a:graphic>
        </xdr:graphicFrame>
      </mc:Choice>
      <mc:Fallback xmlns="">
        <xdr:sp macro="" textlink="">
          <xdr:nvSpPr>
            <xdr:cNvPr id="0" name=""/>
            <xdr:cNvSpPr>
              <a:spLocks noTextEdit="1"/>
            </xdr:cNvSpPr>
          </xdr:nvSpPr>
          <xdr:spPr>
            <a:xfrm>
              <a:off x="705971" y="4480741"/>
              <a:ext cx="1254536" cy="1080822"/>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10</xdr:col>
      <xdr:colOff>717176</xdr:colOff>
      <xdr:row>3</xdr:row>
      <xdr:rowOff>53229</xdr:rowOff>
    </xdr:from>
    <xdr:to>
      <xdr:col>17</xdr:col>
      <xdr:colOff>1003487</xdr:colOff>
      <xdr:row>17</xdr:row>
      <xdr:rowOff>179294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1827C0F5-BE8E-4C02-9C96-515C53B70C85}"/>
                </a:ext>
              </a:extLst>
            </xdr:cNvPr>
            <xdr:cNvSpPr txBox="1"/>
          </xdr:nvSpPr>
          <xdr:spPr>
            <a:xfrm>
              <a:off x="11811000" y="714376"/>
              <a:ext cx="7502899" cy="2725830"/>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Northern Zone Guidance Document (2018):</a:t>
              </a:r>
            </a:p>
            <a:p>
              <a:r>
                <a:rPr lang="en-GB" sz="1100">
                  <a:latin typeface="Arial" panose="020B0604020202020204" pitchFamily="34" charset="0"/>
                  <a:cs typeface="Arial" panose="020B0604020202020204" pitchFamily="34" charset="0"/>
                </a:rPr>
                <a:t>It should be noted that mixture toxicity should always be considered also for long-term risk assessment for birds and mammals (though not recommended in the EFSA Guidance Document). The active substances can jointly contribute to the same adverse effects on non-target species or to different adverse effects which together cause higher toxicity.</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For areas where there is no EFSA guidance available for assessing cumulative risk, this risk should be calculated based on the model of concentration addition using the following equation:</a:t>
              </a:r>
            </a:p>
            <a:p>
              <a:endParaRPr lang="en-GB" sz="1100"/>
            </a:p>
            <a:p>
              <a:pPr/>
              <a14:m>
                <m:oMathPara xmlns:m="http://schemas.openxmlformats.org/officeDocument/2006/math">
                  <m:oMathParaPr>
                    <m:jc m:val="centerGroup"/>
                  </m:oMathParaPr>
                  <m:oMath xmlns:m="http://schemas.openxmlformats.org/officeDocument/2006/math">
                    <m:f>
                      <m:fPr>
                        <m:ctrlPr>
                          <a:rPr lang="fi-FI" sz="1100" b="0" i="1">
                            <a:latin typeface="Cambria Math" panose="02040503050406030204" pitchFamily="18" charset="0"/>
                          </a:rPr>
                        </m:ctrlPr>
                      </m:fPr>
                      <m:num>
                        <m:sSub>
                          <m:sSubPr>
                            <m:ctrlPr>
                              <a:rPr lang="fi-FI" sz="1100" b="0" i="1">
                                <a:latin typeface="Cambria Math" panose="02040503050406030204" pitchFamily="18" charset="0"/>
                              </a:rPr>
                            </m:ctrlPr>
                          </m:sSubPr>
                          <m:e>
                            <m:r>
                              <m:rPr>
                                <m:sty m:val="p"/>
                              </m:rPr>
                              <a:rPr lang="fi-FI" sz="1100" b="0" i="0">
                                <a:latin typeface="Cambria Math" panose="02040503050406030204" pitchFamily="18" charset="0"/>
                              </a:rPr>
                              <m:t>Trigger</m:t>
                            </m:r>
                          </m:e>
                          <m:sub>
                            <m:r>
                              <m:rPr>
                                <m:sty m:val="p"/>
                              </m:rPr>
                              <a:rPr lang="fi-FI" sz="1100" b="0" i="0">
                                <a:latin typeface="Cambria Math" panose="02040503050406030204" pitchFamily="18" charset="0"/>
                              </a:rPr>
                              <m:t>A</m:t>
                            </m:r>
                          </m:sub>
                        </m:sSub>
                        <m:r>
                          <a:rPr lang="fi-FI" sz="1100" b="0" i="0">
                            <a:latin typeface="Cambria Math" panose="02040503050406030204" pitchFamily="18" charset="0"/>
                          </a:rPr>
                          <m:t> </m:t>
                        </m:r>
                        <m:r>
                          <m:rPr>
                            <m:sty m:val="p"/>
                          </m:rPr>
                          <a:rPr lang="fi-FI" sz="1100" b="0" i="0">
                            <a:latin typeface="Cambria Math" panose="02040503050406030204" pitchFamily="18" charset="0"/>
                          </a:rPr>
                          <m:t>value</m:t>
                        </m:r>
                      </m:num>
                      <m:den>
                        <m:sSub>
                          <m:sSubPr>
                            <m:ctrlPr>
                              <a:rPr lang="fi-FI" sz="1100" b="0" i="1">
                                <a:latin typeface="Cambria Math" panose="02040503050406030204" pitchFamily="18" charset="0"/>
                              </a:rPr>
                            </m:ctrlPr>
                          </m:sSubPr>
                          <m:e>
                            <m:r>
                              <m:rPr>
                                <m:sty m:val="p"/>
                              </m:rPr>
                              <a:rPr lang="fi-FI" sz="1100" b="0" i="0">
                                <a:latin typeface="Cambria Math" panose="02040503050406030204" pitchFamily="18" charset="0"/>
                              </a:rPr>
                              <m:t>TER</m:t>
                            </m:r>
                          </m:e>
                          <m:sub>
                            <m:r>
                              <m:rPr>
                                <m:sty m:val="p"/>
                              </m:rPr>
                              <a:rPr lang="fi-FI" sz="1100" b="0" i="0">
                                <a:latin typeface="Cambria Math" panose="02040503050406030204" pitchFamily="18" charset="0"/>
                              </a:rPr>
                              <m:t>A</m:t>
                            </m:r>
                          </m:sub>
                        </m:sSub>
                      </m:den>
                    </m:f>
                    <m:r>
                      <a:rPr lang="fi-FI" sz="1100" b="0" i="0">
                        <a:latin typeface="Cambria Math" panose="02040503050406030204" pitchFamily="18" charset="0"/>
                      </a:rPr>
                      <m:t>+</m:t>
                    </m:r>
                    <m:f>
                      <m:fPr>
                        <m:ctrlPr>
                          <a:rPr lang="fi-FI" sz="1100" b="0" i="1">
                            <a:latin typeface="Cambria Math" panose="02040503050406030204" pitchFamily="18" charset="0"/>
                          </a:rPr>
                        </m:ctrlPr>
                      </m:fPr>
                      <m:num>
                        <m:sSub>
                          <m:sSubPr>
                            <m:ctrlPr>
                              <a:rPr lang="fi-FI" sz="1100" b="0" i="1">
                                <a:latin typeface="Cambria Math" panose="02040503050406030204" pitchFamily="18" charset="0"/>
                              </a:rPr>
                            </m:ctrlPr>
                          </m:sSubPr>
                          <m:e>
                            <m:r>
                              <m:rPr>
                                <m:sty m:val="p"/>
                              </m:rPr>
                              <a:rPr lang="fi-FI" sz="1100" b="0" i="0">
                                <a:latin typeface="Cambria Math" panose="02040503050406030204" pitchFamily="18" charset="0"/>
                              </a:rPr>
                              <m:t>Trigger</m:t>
                            </m:r>
                          </m:e>
                          <m:sub>
                            <m:r>
                              <m:rPr>
                                <m:sty m:val="p"/>
                              </m:rPr>
                              <a:rPr lang="fi-FI" sz="1100" b="0" i="0">
                                <a:latin typeface="Cambria Math" panose="02040503050406030204" pitchFamily="18" charset="0"/>
                              </a:rPr>
                              <m:t>B</m:t>
                            </m:r>
                          </m:sub>
                        </m:sSub>
                        <m:r>
                          <a:rPr lang="fi-FI" sz="1100" b="0" i="0">
                            <a:latin typeface="Cambria Math" panose="02040503050406030204" pitchFamily="18" charset="0"/>
                          </a:rPr>
                          <m:t> </m:t>
                        </m:r>
                        <m:r>
                          <m:rPr>
                            <m:sty m:val="p"/>
                          </m:rPr>
                          <a:rPr lang="fi-FI" sz="1100" b="0" i="0">
                            <a:latin typeface="Cambria Math" panose="02040503050406030204" pitchFamily="18" charset="0"/>
                          </a:rPr>
                          <m:t>value</m:t>
                        </m:r>
                      </m:num>
                      <m:den>
                        <m:sSub>
                          <m:sSubPr>
                            <m:ctrlPr>
                              <a:rPr lang="fi-FI" sz="1100" b="0" i="1">
                                <a:latin typeface="Cambria Math" panose="02040503050406030204" pitchFamily="18" charset="0"/>
                              </a:rPr>
                            </m:ctrlPr>
                          </m:sSubPr>
                          <m:e>
                            <m:r>
                              <m:rPr>
                                <m:sty m:val="p"/>
                              </m:rPr>
                              <a:rPr lang="fi-FI" sz="1100" b="0" i="0">
                                <a:latin typeface="Cambria Math" panose="02040503050406030204" pitchFamily="18" charset="0"/>
                              </a:rPr>
                              <m:t>TER</m:t>
                            </m:r>
                          </m:e>
                          <m:sub>
                            <m:r>
                              <m:rPr>
                                <m:sty m:val="p"/>
                              </m:rPr>
                              <a:rPr lang="fi-FI" sz="1100" b="0" i="0">
                                <a:latin typeface="Cambria Math" panose="02040503050406030204" pitchFamily="18" charset="0"/>
                              </a:rPr>
                              <m:t>B</m:t>
                            </m:r>
                          </m:sub>
                        </m:sSub>
                      </m:den>
                    </m:f>
                    <m:r>
                      <a:rPr lang="fi-FI" sz="1100" b="0" i="0">
                        <a:latin typeface="Cambria Math" panose="02040503050406030204" pitchFamily="18" charset="0"/>
                      </a:rPr>
                      <m:t>+ …=</m:t>
                    </m:r>
                    <m:r>
                      <m:rPr>
                        <m:sty m:val="p"/>
                      </m:rPr>
                      <a:rPr lang="fi-FI" sz="1100" b="0" i="0">
                        <a:latin typeface="Cambria Math" panose="02040503050406030204" pitchFamily="18" charset="0"/>
                      </a:rPr>
                      <m:t>HI</m:t>
                    </m:r>
                    <m:r>
                      <a:rPr lang="fi-FI" sz="1100" b="0" i="0">
                        <a:latin typeface="Cambria Math" panose="02040503050406030204" pitchFamily="18" charset="0"/>
                      </a:rPr>
                      <m:t> </m:t>
                    </m:r>
                    <m:r>
                      <m:rPr>
                        <m:sty m:val="p"/>
                      </m:rPr>
                      <a:rPr lang="fi-FI" sz="1100" b="0" i="0">
                        <a:latin typeface="Cambria Math" panose="02040503050406030204" pitchFamily="18" charset="0"/>
                      </a:rPr>
                      <m:t>SUM</m:t>
                    </m:r>
                  </m:oMath>
                </m:oMathPara>
              </a14:m>
              <a:endParaRPr lang="en-GB" sz="1100" i="0"/>
            </a:p>
            <a:p>
              <a:endParaRPr lang="en-GB" sz="1100" baseline="0">
                <a:latin typeface="Arial" panose="020B0604020202020204" pitchFamily="34" charset="0"/>
                <a:cs typeface="Arial" panose="020B0604020202020204" pitchFamily="34" charset="0"/>
              </a:endParaRPr>
            </a:p>
            <a:p>
              <a:r>
                <a:rPr lang="en-GB" sz="1050" b="1" baseline="0">
                  <a:latin typeface="Arial" panose="020B0604020202020204" pitchFamily="34" charset="0"/>
                  <a:cs typeface="Arial" panose="020B0604020202020204" pitchFamily="34" charset="0"/>
                </a:rPr>
                <a:t>TER</a:t>
              </a:r>
              <a:r>
                <a:rPr lang="en-GB" sz="1050" baseline="0">
                  <a:latin typeface="Arial" panose="020B0604020202020204" pitchFamily="34" charset="0"/>
                  <a:cs typeface="Arial" panose="020B0604020202020204" pitchFamily="34" charset="0"/>
                </a:rPr>
                <a:t> = DDD</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NOAEL</a:t>
              </a:r>
            </a:p>
            <a:p>
              <a:r>
                <a:rPr lang="en-GB" sz="1050" b="1" baseline="0">
                  <a:latin typeface="Arial" panose="020B0604020202020204" pitchFamily="34" charset="0"/>
                  <a:cs typeface="Arial" panose="020B0604020202020204" pitchFamily="34" charset="0"/>
                </a:rPr>
                <a:t>DDD</a:t>
              </a:r>
              <a:r>
                <a:rPr lang="en-GB" sz="1050" b="1"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SV</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Application rate (kg a.s./ha) * MAF</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TWA</a:t>
              </a:r>
              <a:endParaRPr lang="en-GB" sz="1100" baseline="0">
                <a:latin typeface="Arial" panose="020B0604020202020204" pitchFamily="34" charset="0"/>
                <a:cs typeface="Arial" panose="020B0604020202020204" pitchFamily="34" charset="0"/>
              </a:endParaRPr>
            </a:p>
            <a:p>
              <a:pPr algn="ctr"/>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If HI SUM</a:t>
              </a:r>
              <a:r>
                <a:rPr lang="en-GB" sz="1100" baseline="0">
                  <a:latin typeface="Arial" panose="020B0604020202020204" pitchFamily="34" charset="0"/>
                  <a:cs typeface="Arial" panose="020B0604020202020204" pitchFamily="34" charset="0"/>
                </a:rPr>
                <a:t> &lt; 1, no unacceptable risk is identified.</a:t>
              </a:r>
              <a:endParaRPr lang="en-GB" sz="1100" baseline="-25000">
                <a:latin typeface="Arial" panose="020B0604020202020204" pitchFamily="34" charset="0"/>
                <a:cs typeface="Arial" panose="020B0604020202020204" pitchFamily="34" charset="0"/>
              </a:endParaRPr>
            </a:p>
            <a:p>
              <a:pPr algn="l"/>
              <a:endParaRPr lang="en-GB" sz="1100" baseline="0">
                <a:latin typeface="Arial" panose="020B0604020202020204" pitchFamily="34" charset="0"/>
                <a:cs typeface="Arial" panose="020B0604020202020204" pitchFamily="34" charset="0"/>
              </a:endParaRPr>
            </a:p>
            <a:p>
              <a:pPr algn="l"/>
              <a:endParaRPr lang="en-GB" sz="1100" baseline="-25000">
                <a:latin typeface="Arial" panose="020B0604020202020204" pitchFamily="34" charset="0"/>
                <a:cs typeface="Arial" panose="020B0604020202020204" pitchFamily="34" charset="0"/>
              </a:endParaRPr>
            </a:p>
          </xdr:txBody>
        </xdr:sp>
      </mc:Choice>
      <mc:Fallback xmlns="">
        <xdr:sp macro="" textlink="">
          <xdr:nvSpPr>
            <xdr:cNvPr id="6" name="TextBox 5">
              <a:extLst>
                <a:ext uri="{FF2B5EF4-FFF2-40B4-BE49-F238E27FC236}">
                  <a16:creationId xmlns:a16="http://schemas.microsoft.com/office/drawing/2014/main" id="{1827C0F5-BE8E-4C02-9C96-515C53B70C85}"/>
                </a:ext>
              </a:extLst>
            </xdr:cNvPr>
            <xdr:cNvSpPr txBox="1"/>
          </xdr:nvSpPr>
          <xdr:spPr>
            <a:xfrm>
              <a:off x="11811000" y="714376"/>
              <a:ext cx="7502899" cy="2725830"/>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Northern Zone Guidance Document (2018):</a:t>
              </a:r>
            </a:p>
            <a:p>
              <a:r>
                <a:rPr lang="en-GB" sz="1100">
                  <a:latin typeface="Arial" panose="020B0604020202020204" pitchFamily="34" charset="0"/>
                  <a:cs typeface="Arial" panose="020B0604020202020204" pitchFamily="34" charset="0"/>
                </a:rPr>
                <a:t>It should be noted that mixture toxicity should always be considered also for long-term risk assessment for birds and mammals (though not recommended in the EFSA Guidance Document). The active substances can jointly contribute to the same adverse effects on non-target species or to different adverse effects which together cause higher toxicity.</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For areas where there is no EFSA guidance available for assessing cumulative risk, this risk should be calculated based on the model of concentration addition using the following equation:</a:t>
              </a:r>
            </a:p>
            <a:p>
              <a:endParaRPr lang="en-GB" sz="1100"/>
            </a:p>
            <a:p>
              <a:pPr/>
              <a:r>
                <a:rPr lang="fi-FI" sz="1100" b="0" i="0">
                  <a:latin typeface="Cambria Math" panose="02040503050406030204" pitchFamily="18" charset="0"/>
                </a:rPr>
                <a:t>(Trigger_A  value)/TER_A +(Trigger_B  value)/TER_B + …=HI SUM</a:t>
              </a:r>
              <a:endParaRPr lang="en-GB" sz="1100" i="0"/>
            </a:p>
            <a:p>
              <a:endParaRPr lang="en-GB" sz="1100" baseline="0">
                <a:latin typeface="Arial" panose="020B0604020202020204" pitchFamily="34" charset="0"/>
                <a:cs typeface="Arial" panose="020B0604020202020204" pitchFamily="34" charset="0"/>
              </a:endParaRPr>
            </a:p>
            <a:p>
              <a:r>
                <a:rPr lang="en-GB" sz="1050" b="1" baseline="0">
                  <a:latin typeface="Arial" panose="020B0604020202020204" pitchFamily="34" charset="0"/>
                  <a:cs typeface="Arial" panose="020B0604020202020204" pitchFamily="34" charset="0"/>
                </a:rPr>
                <a:t>TER</a:t>
              </a:r>
              <a:r>
                <a:rPr lang="en-GB" sz="1050" baseline="0">
                  <a:latin typeface="Arial" panose="020B0604020202020204" pitchFamily="34" charset="0"/>
                  <a:cs typeface="Arial" panose="020B0604020202020204" pitchFamily="34" charset="0"/>
                </a:rPr>
                <a:t> = DDD</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NOAEL</a:t>
              </a:r>
            </a:p>
            <a:p>
              <a:r>
                <a:rPr lang="en-GB" sz="1050" b="1" baseline="0">
                  <a:latin typeface="Arial" panose="020B0604020202020204" pitchFamily="34" charset="0"/>
                  <a:cs typeface="Arial" panose="020B0604020202020204" pitchFamily="34" charset="0"/>
                </a:rPr>
                <a:t>DDD</a:t>
              </a:r>
              <a:r>
                <a:rPr lang="en-GB" sz="1050" b="1"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SV</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Application rate (kg a.s./ha) * MAF</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TWA</a:t>
              </a:r>
              <a:endParaRPr lang="en-GB" sz="1100" baseline="0">
                <a:latin typeface="Arial" panose="020B0604020202020204" pitchFamily="34" charset="0"/>
                <a:cs typeface="Arial" panose="020B0604020202020204" pitchFamily="34" charset="0"/>
              </a:endParaRPr>
            </a:p>
            <a:p>
              <a:pPr algn="ctr"/>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If HI SUM</a:t>
              </a:r>
              <a:r>
                <a:rPr lang="en-GB" sz="1100" baseline="0">
                  <a:latin typeface="Arial" panose="020B0604020202020204" pitchFamily="34" charset="0"/>
                  <a:cs typeface="Arial" panose="020B0604020202020204" pitchFamily="34" charset="0"/>
                </a:rPr>
                <a:t> &lt; 1, no unacceptable risk is identified.</a:t>
              </a:r>
              <a:endParaRPr lang="en-GB" sz="1100" baseline="-25000">
                <a:latin typeface="Arial" panose="020B0604020202020204" pitchFamily="34" charset="0"/>
                <a:cs typeface="Arial" panose="020B0604020202020204" pitchFamily="34" charset="0"/>
              </a:endParaRPr>
            </a:p>
            <a:p>
              <a:pPr algn="l"/>
              <a:endParaRPr lang="en-GB" sz="1100" baseline="0">
                <a:latin typeface="Arial" panose="020B0604020202020204" pitchFamily="34" charset="0"/>
                <a:cs typeface="Arial" panose="020B0604020202020204" pitchFamily="34" charset="0"/>
              </a:endParaRPr>
            </a:p>
            <a:p>
              <a:pPr algn="l"/>
              <a:endParaRPr lang="en-GB" sz="1100" baseline="-25000">
                <a:latin typeface="Arial" panose="020B0604020202020204" pitchFamily="34" charset="0"/>
                <a:cs typeface="Arial" panose="020B0604020202020204" pitchFamily="34" charset="0"/>
              </a:endParaRPr>
            </a:p>
          </xdr:txBody>
        </xdr:sp>
      </mc:Fallback>
    </mc:AlternateContent>
    <xdr:clientData/>
  </xdr:twoCellAnchor>
  <xdr:twoCellAnchor>
    <xdr:from>
      <xdr:col>2</xdr:col>
      <xdr:colOff>28575</xdr:colOff>
      <xdr:row>3</xdr:row>
      <xdr:rowOff>165673</xdr:rowOff>
    </xdr:from>
    <xdr:to>
      <xdr:col>9</xdr:col>
      <xdr:colOff>915</xdr:colOff>
      <xdr:row>9</xdr:row>
      <xdr:rowOff>93169</xdr:rowOff>
    </xdr:to>
    <xdr:grpSp>
      <xdr:nvGrpSpPr>
        <xdr:cNvPr id="7" name="Group 6">
          <a:extLst>
            <a:ext uri="{FF2B5EF4-FFF2-40B4-BE49-F238E27FC236}">
              <a16:creationId xmlns:a16="http://schemas.microsoft.com/office/drawing/2014/main" id="{E680691B-E733-4F10-9E05-0E9FED4E91B1}"/>
            </a:ext>
          </a:extLst>
        </xdr:cNvPr>
        <xdr:cNvGrpSpPr/>
      </xdr:nvGrpSpPr>
      <xdr:grpSpPr>
        <a:xfrm>
          <a:off x="800100" y="832423"/>
          <a:ext cx="9249690" cy="1099071"/>
          <a:chOff x="800100" y="10633450"/>
          <a:chExt cx="8219707" cy="1216369"/>
        </a:xfrm>
      </xdr:grpSpPr>
      <xdr:grpSp>
        <xdr:nvGrpSpPr>
          <xdr:cNvPr id="8" name="Group 7">
            <a:extLst>
              <a:ext uri="{FF2B5EF4-FFF2-40B4-BE49-F238E27FC236}">
                <a16:creationId xmlns:a16="http://schemas.microsoft.com/office/drawing/2014/main" id="{4A57C9BF-CE82-48F8-8CFA-0F2170DD9016}"/>
              </a:ext>
            </a:extLst>
          </xdr:cNvPr>
          <xdr:cNvGrpSpPr/>
        </xdr:nvGrpSpPr>
        <xdr:grpSpPr>
          <a:xfrm>
            <a:off x="800100" y="10633450"/>
            <a:ext cx="8218860" cy="1216369"/>
            <a:chOff x="800100" y="10633450"/>
            <a:chExt cx="8218860" cy="1216369"/>
          </a:xfrm>
        </xdr:grpSpPr>
        <xdr:sp macro="" textlink="">
          <xdr:nvSpPr>
            <xdr:cNvPr id="10" name="TextBox 9">
              <a:extLst>
                <a:ext uri="{FF2B5EF4-FFF2-40B4-BE49-F238E27FC236}">
                  <a16:creationId xmlns:a16="http://schemas.microsoft.com/office/drawing/2014/main" id="{965717D6-CDCA-432C-9241-69D58534A7BE}"/>
                </a:ext>
              </a:extLst>
            </xdr:cNvPr>
            <xdr:cNvSpPr txBox="1"/>
          </xdr:nvSpPr>
          <xdr:spPr>
            <a:xfrm>
              <a:off x="800100" y="10633450"/>
              <a:ext cx="8218860" cy="750488"/>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6800" rtlCol="0" anchor="ctr"/>
            <a:lstStyle/>
            <a:p>
              <a:pPr algn="ctr"/>
              <a:r>
                <a:rPr lang="en-GB" sz="1100" b="0" i="0" u="none" strike="noStrike" baseline="0">
                  <a:solidFill>
                    <a:schemeClr val="dk1"/>
                  </a:solidFill>
                  <a:latin typeface="Arial" panose="020B0604020202020204" pitchFamily="34" charset="0"/>
                  <a:ea typeface="+mn-ea"/>
                  <a:cs typeface="Arial" panose="020B0604020202020204" pitchFamily="34" charset="0"/>
                </a:rPr>
                <a:t>In the NZ it is agreed to use the model of concentration addition for mixture-toxicity calculations for long-term risk assessment for birds and mammals. Assessment will not be performed according to Step 3 in the EFSA (2009).</a:t>
              </a:r>
            </a:p>
            <a:p>
              <a:pPr algn="ctr"/>
              <a:r>
                <a:rPr lang="en-GB" sz="1100" b="0" i="0" baseline="0">
                  <a:solidFill>
                    <a:schemeClr val="dk1"/>
                  </a:solidFill>
                  <a:effectLst/>
                  <a:latin typeface="Arial" panose="020B0604020202020204" pitchFamily="34" charset="0"/>
                  <a:ea typeface="+mn-ea"/>
                  <a:cs typeface="Arial" panose="020B0604020202020204" pitchFamily="34" charset="0"/>
                </a:rPr>
                <a:t>Whether the risk for the formulation is considered unacceptable or not, is indicated with the following colours:</a:t>
              </a:r>
              <a:endParaRPr lang="fi-FI">
                <a:effectLst/>
                <a:latin typeface="Arial" panose="020B0604020202020204" pitchFamily="34" charset="0"/>
                <a:cs typeface="Arial" panose="020B0604020202020204" pitchFamily="34" charset="0"/>
              </a:endParaRPr>
            </a:p>
          </xdr:txBody>
        </xdr:sp>
        <xdr:sp macro="" textlink="">
          <xdr:nvSpPr>
            <xdr:cNvPr id="11" name="TextBox 10">
              <a:extLst>
                <a:ext uri="{FF2B5EF4-FFF2-40B4-BE49-F238E27FC236}">
                  <a16:creationId xmlns:a16="http://schemas.microsoft.com/office/drawing/2014/main" id="{DFB2A131-F377-43F1-9B19-D5A758098D30}"/>
                </a:ext>
              </a:extLst>
            </xdr:cNvPr>
            <xdr:cNvSpPr txBox="1"/>
          </xdr:nvSpPr>
          <xdr:spPr>
            <a:xfrm>
              <a:off x="800143" y="11379240"/>
              <a:ext cx="4132464" cy="470579"/>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000" b="0" i="0" u="none" strike="noStrike" baseline="0">
                  <a:solidFill>
                    <a:schemeClr val="accent6">
                      <a:lumMod val="50000"/>
                    </a:schemeClr>
                  </a:solidFill>
                  <a:latin typeface="Arial" panose="020B0604020202020204" pitchFamily="34" charset="0"/>
                  <a:ea typeface="+mn-ea"/>
                  <a:cs typeface="Arial" panose="020B0604020202020204" pitchFamily="34" charset="0"/>
                </a:rPr>
                <a:t>No unacceptable risk.</a:t>
              </a:r>
            </a:p>
            <a:p>
              <a:pPr algn="ctr"/>
              <a:r>
                <a:rPr lang="en-GB" sz="1000" b="0" i="0" u="none" strike="noStrike" baseline="0">
                  <a:solidFill>
                    <a:schemeClr val="accent6">
                      <a:lumMod val="50000"/>
                    </a:schemeClr>
                  </a:solidFill>
                  <a:latin typeface="Arial" panose="020B0604020202020204" pitchFamily="34" charset="0"/>
                  <a:ea typeface="+mn-ea"/>
                  <a:cs typeface="Arial" panose="020B0604020202020204" pitchFamily="34" charset="0"/>
                </a:rPr>
                <a:t>HI</a:t>
              </a:r>
              <a:r>
                <a:rPr lang="en-GB" sz="1000" b="0" i="0" u="none" strike="noStrike" baseline="-25000">
                  <a:solidFill>
                    <a:schemeClr val="accent6">
                      <a:lumMod val="50000"/>
                    </a:schemeClr>
                  </a:solidFill>
                  <a:latin typeface="Arial" panose="020B0604020202020204" pitchFamily="34" charset="0"/>
                  <a:ea typeface="+mn-ea"/>
                  <a:cs typeface="Arial" panose="020B0604020202020204" pitchFamily="34" charset="0"/>
                </a:rPr>
                <a:t>SUM </a:t>
              </a:r>
              <a:r>
                <a:rPr lang="en-GB" sz="1000" b="0" i="0" u="none" strike="noStrike" baseline="0">
                  <a:solidFill>
                    <a:schemeClr val="accent6">
                      <a:lumMod val="50000"/>
                    </a:schemeClr>
                  </a:solidFill>
                  <a:latin typeface="Arial" panose="020B0604020202020204" pitchFamily="34" charset="0"/>
                  <a:ea typeface="+mn-ea"/>
                  <a:cs typeface="Arial" panose="020B0604020202020204" pitchFamily="34" charset="0"/>
                </a:rPr>
                <a:t>&lt; 1 or TER</a:t>
              </a:r>
              <a:r>
                <a:rPr lang="en-GB" sz="1000" b="0" i="0" u="none" strike="noStrike" baseline="-25000">
                  <a:solidFill>
                    <a:schemeClr val="accent6">
                      <a:lumMod val="50000"/>
                    </a:schemeClr>
                  </a:solidFill>
                  <a:latin typeface="Arial" panose="020B0604020202020204" pitchFamily="34" charset="0"/>
                  <a:ea typeface="+mn-ea"/>
                  <a:cs typeface="Arial" panose="020B0604020202020204" pitchFamily="34" charset="0"/>
                </a:rPr>
                <a:t>LT</a:t>
              </a:r>
              <a:r>
                <a:rPr lang="en-GB" sz="1000" b="0" i="0" u="none" strike="noStrike" baseline="0">
                  <a:solidFill>
                    <a:schemeClr val="accent6">
                      <a:lumMod val="50000"/>
                    </a:schemeClr>
                  </a:solidFill>
                  <a:latin typeface="Arial" panose="020B0604020202020204" pitchFamily="34" charset="0"/>
                  <a:ea typeface="+mn-ea"/>
                  <a:cs typeface="Arial" panose="020B0604020202020204" pitchFamily="34" charset="0"/>
                </a:rPr>
                <a:t> &gt; 5</a:t>
              </a:r>
            </a:p>
          </xdr:txBody>
        </xdr:sp>
      </xdr:grpSp>
      <xdr:sp macro="" textlink="">
        <xdr:nvSpPr>
          <xdr:cNvPr id="9" name="TextBox 8">
            <a:extLst>
              <a:ext uri="{FF2B5EF4-FFF2-40B4-BE49-F238E27FC236}">
                <a16:creationId xmlns:a16="http://schemas.microsoft.com/office/drawing/2014/main" id="{C16D24FC-392D-4D56-9AE4-283AE9639405}"/>
              </a:ext>
            </a:extLst>
          </xdr:cNvPr>
          <xdr:cNvSpPr txBox="1"/>
        </xdr:nvSpPr>
        <xdr:spPr>
          <a:xfrm>
            <a:off x="4922235" y="11379237"/>
            <a:ext cx="4097572" cy="470581"/>
          </a:xfrm>
          <a:prstGeom prst="rect">
            <a:avLst/>
          </a:prstGeom>
          <a:solidFill>
            <a:srgbClr val="FFAFA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000" b="0" i="0" u="none" strike="noStrike" baseline="0">
                <a:solidFill>
                  <a:srgbClr val="A80000"/>
                </a:solidFill>
                <a:latin typeface="Arial" panose="020B0604020202020204" pitchFamily="34" charset="0"/>
                <a:ea typeface="+mn-ea"/>
                <a:cs typeface="Arial" panose="020B0604020202020204" pitchFamily="34" charset="0"/>
              </a:rPr>
              <a:t>Unacceptable risk.</a:t>
            </a:r>
          </a:p>
          <a:p>
            <a:pPr algn="ctr"/>
            <a:r>
              <a:rPr lang="en-GB" sz="1000" b="0" i="0" u="none" strike="noStrike" baseline="0">
                <a:solidFill>
                  <a:srgbClr val="A80000"/>
                </a:solidFill>
                <a:latin typeface="Arial" panose="020B0604020202020204" pitchFamily="34" charset="0"/>
                <a:ea typeface="+mn-ea"/>
                <a:cs typeface="Arial" panose="020B0604020202020204" pitchFamily="34" charset="0"/>
              </a:rPr>
              <a:t>HI</a:t>
            </a:r>
            <a:r>
              <a:rPr lang="en-GB" sz="1000" b="0" i="0" u="none" strike="noStrike" baseline="-25000">
                <a:solidFill>
                  <a:srgbClr val="A80000"/>
                </a:solidFill>
                <a:latin typeface="Arial" panose="020B0604020202020204" pitchFamily="34" charset="0"/>
                <a:ea typeface="+mn-ea"/>
                <a:cs typeface="Arial" panose="020B0604020202020204" pitchFamily="34" charset="0"/>
              </a:rPr>
              <a:t>SUM</a:t>
            </a:r>
            <a:r>
              <a:rPr lang="en-GB" sz="1000" b="0" i="0" u="none" strike="noStrike" baseline="0">
                <a:solidFill>
                  <a:srgbClr val="A80000"/>
                </a:solidFill>
                <a:latin typeface="Arial" panose="020B0604020202020204" pitchFamily="34" charset="0"/>
                <a:ea typeface="+mn-ea"/>
                <a:cs typeface="Arial" panose="020B0604020202020204" pitchFamily="34" charset="0"/>
              </a:rPr>
              <a:t> ≥ 1 or TER</a:t>
            </a:r>
            <a:r>
              <a:rPr lang="en-GB" sz="1000" b="0" i="0" u="none" strike="noStrike" baseline="-25000">
                <a:solidFill>
                  <a:srgbClr val="A80000"/>
                </a:solidFill>
                <a:latin typeface="Arial" panose="020B0604020202020204" pitchFamily="34" charset="0"/>
                <a:ea typeface="+mn-ea"/>
                <a:cs typeface="Arial" panose="020B0604020202020204" pitchFamily="34" charset="0"/>
              </a:rPr>
              <a:t>LT</a:t>
            </a:r>
            <a:r>
              <a:rPr lang="en-GB" sz="1000" b="0" i="0" u="none" strike="noStrike" baseline="0">
                <a:solidFill>
                  <a:srgbClr val="A80000"/>
                </a:solidFill>
                <a:latin typeface="Arial" panose="020B0604020202020204" pitchFamily="34" charset="0"/>
                <a:ea typeface="+mn-ea"/>
                <a:cs typeface="Arial" panose="020B0604020202020204" pitchFamily="34" charset="0"/>
              </a:rPr>
              <a:t> ≤ 5</a:t>
            </a:r>
          </a:p>
        </xdr:txBody>
      </xdr:sp>
    </xdr:grpSp>
    <xdr:clientData/>
  </xdr:twoCellAnchor>
  <xdr:twoCellAnchor>
    <xdr:from>
      <xdr:col>1</xdr:col>
      <xdr:colOff>0</xdr:colOff>
      <xdr:row>160</xdr:row>
      <xdr:rowOff>254373</xdr:rowOff>
    </xdr:from>
    <xdr:to>
      <xdr:col>10</xdr:col>
      <xdr:colOff>457760</xdr:colOff>
      <xdr:row>170</xdr:row>
      <xdr:rowOff>142875</xdr:rowOff>
    </xdr:to>
    <xdr:sp macro="" textlink="">
      <xdr:nvSpPr>
        <xdr:cNvPr id="13" name="TextBox 12">
          <a:extLst>
            <a:ext uri="{FF2B5EF4-FFF2-40B4-BE49-F238E27FC236}">
              <a16:creationId xmlns:a16="http://schemas.microsoft.com/office/drawing/2014/main" id="{AAF7AD58-5327-43D7-8666-CB83FB33FCE7}"/>
            </a:ext>
          </a:extLst>
        </xdr:cNvPr>
        <xdr:cNvSpPr txBox="1"/>
      </xdr:nvSpPr>
      <xdr:spPr>
        <a:xfrm>
          <a:off x="771525" y="7607673"/>
          <a:ext cx="10001810" cy="2307852"/>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6800" rtlCol="0" anchor="ctr"/>
        <a:lstStyle/>
        <a:p>
          <a:r>
            <a:rPr lang="en-GB" sz="1100" b="1">
              <a:solidFill>
                <a:schemeClr val="dk1"/>
              </a:solidFill>
              <a:effectLst/>
              <a:latin typeface="+mn-lt"/>
              <a:ea typeface="+mn-ea"/>
              <a:cs typeface="+mn-cs"/>
            </a:rPr>
            <a:t>Northern Zone Guidance Document (2021 version)*</a:t>
          </a:r>
          <a:br>
            <a:rPr lang="en-GB" sz="1100" b="1">
              <a:solidFill>
                <a:schemeClr val="dk1"/>
              </a:solidFill>
              <a:effectLst/>
              <a:latin typeface="+mn-lt"/>
              <a:ea typeface="+mn-ea"/>
              <a:cs typeface="+mn-cs"/>
            </a:rPr>
          </a:br>
          <a:r>
            <a:rPr lang="en-GB" sz="1100">
              <a:solidFill>
                <a:schemeClr val="dk1"/>
              </a:solidFill>
              <a:effectLst/>
              <a:latin typeface="+mn-lt"/>
              <a:ea typeface="+mn-ea"/>
              <a:cs typeface="+mn-cs"/>
            </a:rPr>
            <a:t>No refinements of the EFSA tier 1 assessment scenarios are accepted, except that MAF- and TWA-factors may be refined if adequate substance specific data on DT</a:t>
          </a:r>
          <a:r>
            <a:rPr lang="en-GB" sz="1100" baseline="-25000">
              <a:solidFill>
                <a:schemeClr val="dk1"/>
              </a:solidFill>
              <a:effectLst/>
              <a:latin typeface="+mn-lt"/>
              <a:ea typeface="+mn-ea"/>
              <a:cs typeface="+mn-cs"/>
            </a:rPr>
            <a:t>50</a:t>
          </a:r>
          <a:r>
            <a:rPr lang="en-GB" sz="1100">
              <a:solidFill>
                <a:schemeClr val="dk1"/>
              </a:solidFill>
              <a:effectLst/>
              <a:latin typeface="+mn-lt"/>
              <a:ea typeface="+mn-ea"/>
              <a:cs typeface="+mn-cs"/>
            </a:rPr>
            <a:t> in plants are available. Please refer to the Northern Zone Higher Tie guidance document, section 4.4 for requirements concerning refinement of DT</a:t>
          </a:r>
          <a:r>
            <a:rPr lang="en-GB" sz="1100" baseline="-25000">
              <a:solidFill>
                <a:schemeClr val="dk1"/>
              </a:solidFill>
              <a:effectLst/>
              <a:latin typeface="+mn-lt"/>
              <a:ea typeface="+mn-ea"/>
              <a:cs typeface="+mn-cs"/>
            </a:rPr>
            <a:t>50</a:t>
          </a:r>
          <a:r>
            <a:rPr lang="en-GB" sz="1100">
              <a:solidFill>
                <a:schemeClr val="dk1"/>
              </a:solidFill>
              <a:effectLst/>
              <a:latin typeface="+mn-lt"/>
              <a:ea typeface="+mn-ea"/>
              <a:cs typeface="+mn-cs"/>
            </a:rPr>
            <a:t>.</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When further refinements of the risk assessment are necessary, the Northern Zone higher tier guidance document describing relevant scenarios to be used in a higher tier risk assessment should be used together with the associated spreadsheet.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When a higher tier assessment is triggered, by any generic focal species at Tier 1 in a crop/growth stage scenario, the risk should be assessed for all NZ higher tier focal species relevant for that crop/growth stage scenario. All focal species required for the crop and growth stage in question according to the Northern Zone higher tier guidance document are relevant, even if the focal species were already assessed as generic focal species at tier 1. The main reason for this is that the tier 1 scenarios are not necessarily worst case with respect to diet in the Northern Zone, where some of the generic focal species are rare or missing and the niches of the remaining focal species may thus be broader. Higher tier TER calculations are however not required for generic focal species which passed the trigger by a factor of 2 or more at tier 1.</a:t>
          </a:r>
          <a:endParaRPr lang="fi-FI" sz="1100">
            <a:solidFill>
              <a:schemeClr val="dk1"/>
            </a:solidFill>
            <a:effectLst/>
            <a:latin typeface="+mn-lt"/>
            <a:ea typeface="+mn-ea"/>
            <a:cs typeface="+mn-cs"/>
          </a:endParaRPr>
        </a:p>
      </xdr:txBody>
    </xdr:sp>
    <xdr:clientData/>
  </xdr:twoCellAnchor>
  <xdr:twoCellAnchor>
    <xdr:from>
      <xdr:col>10</xdr:col>
      <xdr:colOff>739588</xdr:colOff>
      <xdr:row>18</xdr:row>
      <xdr:rowOff>36420</xdr:rowOff>
    </xdr:from>
    <xdr:to>
      <xdr:col>18</xdr:col>
      <xdr:colOff>23531</xdr:colOff>
      <xdr:row>23</xdr:row>
      <xdr:rowOff>89646</xdr:rowOff>
    </xdr:to>
    <xdr:sp macro="" textlink="">
      <xdr:nvSpPr>
        <xdr:cNvPr id="14" name="TextBox 13">
          <a:extLst>
            <a:ext uri="{FF2B5EF4-FFF2-40B4-BE49-F238E27FC236}">
              <a16:creationId xmlns:a16="http://schemas.microsoft.com/office/drawing/2014/main" id="{E3C13B70-AEE3-4B8B-8CD8-B0E3EC0201A0}"/>
            </a:ext>
          </a:extLst>
        </xdr:cNvPr>
        <xdr:cNvSpPr txBox="1"/>
      </xdr:nvSpPr>
      <xdr:spPr>
        <a:xfrm>
          <a:off x="11833412" y="3521449"/>
          <a:ext cx="7531472" cy="994521"/>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latin typeface="Arial" panose="020B0604020202020204" pitchFamily="34" charset="0"/>
              <a:cs typeface="Arial" panose="020B0604020202020204" pitchFamily="34" charset="0"/>
            </a:rPr>
            <a:t>If measured formulation endpoint is used instead, the product TER</a:t>
          </a:r>
          <a:r>
            <a:rPr lang="en-GB" sz="1100" baseline="-25000">
              <a:latin typeface="Arial" panose="020B0604020202020204" pitchFamily="34" charset="0"/>
              <a:cs typeface="Arial" panose="020B0604020202020204" pitchFamily="34" charset="0"/>
            </a:rPr>
            <a:t>LT</a:t>
          </a:r>
          <a:r>
            <a:rPr lang="en-GB" sz="1100" baseline="0">
              <a:latin typeface="Arial" panose="020B0604020202020204" pitchFamily="34" charset="0"/>
              <a:cs typeface="Arial" panose="020B0604020202020204" pitchFamily="34" charset="0"/>
            </a:rPr>
            <a:t> is calculated as </a:t>
          </a:r>
        </a:p>
        <a:p>
          <a:pPr algn="ctr"/>
          <a:endParaRPr lang="en-GB" sz="1100" baseline="0">
            <a:latin typeface="Arial" panose="020B0604020202020204" pitchFamily="34" charset="0"/>
            <a:cs typeface="Arial" panose="020B0604020202020204" pitchFamily="34" charset="0"/>
          </a:endParaRPr>
        </a:p>
        <a:p>
          <a:pPr algn="ctr"/>
          <a:r>
            <a:rPr lang="en-GB" sz="1100" baseline="0">
              <a:latin typeface="Arial" panose="020B0604020202020204" pitchFamily="34" charset="0"/>
              <a:cs typeface="Arial" panose="020B0604020202020204" pitchFamily="34" charset="0"/>
            </a:rPr>
            <a:t>NOAEL / C</a:t>
          </a:r>
          <a:r>
            <a:rPr lang="en-GB" sz="1100" baseline="-25000">
              <a:latin typeface="Arial" panose="020B0604020202020204" pitchFamily="34" charset="0"/>
              <a:cs typeface="Arial" panose="020B0604020202020204" pitchFamily="34" charset="0"/>
            </a:rPr>
            <a:t>(mix)</a:t>
          </a:r>
        </a:p>
        <a:p>
          <a:pPr algn="l"/>
          <a:endParaRPr lang="en-GB" sz="1100" baseline="0">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000" b="1" baseline="0">
              <a:latin typeface="Arial" panose="020B0604020202020204" pitchFamily="34" charset="0"/>
              <a:cs typeface="Arial" panose="020B0604020202020204" pitchFamily="34" charset="0"/>
            </a:rPr>
            <a:t>C</a:t>
          </a:r>
          <a:r>
            <a:rPr lang="en-GB" sz="1000" b="1" baseline="-25000">
              <a:latin typeface="Arial" panose="020B0604020202020204" pitchFamily="34" charset="0"/>
              <a:cs typeface="Arial" panose="020B0604020202020204" pitchFamily="34" charset="0"/>
            </a:rPr>
            <a:t>(mix)</a:t>
          </a:r>
          <a:r>
            <a:rPr lang="en-GB" sz="1000" b="1" baseline="0">
              <a:latin typeface="Arial" panose="020B0604020202020204" pitchFamily="34" charset="0"/>
              <a:cs typeface="Arial" panose="020B0604020202020204" pitchFamily="34" charset="0"/>
            </a:rPr>
            <a:t> </a:t>
          </a:r>
          <a:r>
            <a:rPr lang="en-GB" sz="1000" baseline="0">
              <a:latin typeface="Arial" panose="020B0604020202020204" pitchFamily="34" charset="0"/>
              <a:cs typeface="Arial" panose="020B0604020202020204" pitchFamily="34" charset="0"/>
            </a:rPr>
            <a:t>= </a:t>
          </a:r>
          <a:r>
            <a:rPr lang="en-GB" sz="1000" baseline="0">
              <a:solidFill>
                <a:schemeClr val="dk1"/>
              </a:solidFill>
              <a:effectLst/>
              <a:latin typeface="Arial" panose="020B0604020202020204" pitchFamily="34" charset="0"/>
              <a:ea typeface="+mn-ea"/>
              <a:cs typeface="Arial" panose="020B0604020202020204" pitchFamily="34" charset="0"/>
            </a:rPr>
            <a:t>SV</a:t>
          </a:r>
          <a:r>
            <a:rPr lang="en-GB" sz="1000" baseline="-25000">
              <a:solidFill>
                <a:schemeClr val="dk1"/>
              </a:solidFill>
              <a:effectLst/>
              <a:latin typeface="Arial" panose="020B0604020202020204" pitchFamily="34" charset="0"/>
              <a:ea typeface="+mn-ea"/>
              <a:cs typeface="Arial" panose="020B0604020202020204" pitchFamily="34" charset="0"/>
            </a:rPr>
            <a:t>m</a:t>
          </a:r>
          <a:r>
            <a:rPr lang="en-GB" sz="1000" baseline="0">
              <a:solidFill>
                <a:schemeClr val="dk1"/>
              </a:solidFill>
              <a:effectLst/>
              <a:latin typeface="Arial" panose="020B0604020202020204" pitchFamily="34" charset="0"/>
              <a:ea typeface="+mn-ea"/>
              <a:cs typeface="Arial" panose="020B0604020202020204" pitchFamily="34" charset="0"/>
            </a:rPr>
            <a:t> * Application rate (∑ kg a.s.</a:t>
          </a:r>
          <a:r>
            <a:rPr lang="en-GB" sz="1000" baseline="-25000">
              <a:solidFill>
                <a:schemeClr val="dk1"/>
              </a:solidFill>
              <a:effectLst/>
              <a:latin typeface="Arial" panose="020B0604020202020204" pitchFamily="34" charset="0"/>
              <a:ea typeface="+mn-ea"/>
              <a:cs typeface="Arial" panose="020B0604020202020204" pitchFamily="34" charset="0"/>
            </a:rPr>
            <a:t>[i]</a:t>
          </a:r>
          <a:r>
            <a:rPr lang="en-GB" sz="1000" baseline="0">
              <a:solidFill>
                <a:schemeClr val="dk1"/>
              </a:solidFill>
              <a:effectLst/>
              <a:latin typeface="Arial" panose="020B0604020202020204" pitchFamily="34" charset="0"/>
              <a:ea typeface="+mn-ea"/>
              <a:cs typeface="Arial" panose="020B0604020202020204" pitchFamily="34" charset="0"/>
            </a:rPr>
            <a:t>/ha) * MAF</a:t>
          </a:r>
          <a:r>
            <a:rPr lang="en-GB" sz="1000" baseline="-25000">
              <a:solidFill>
                <a:schemeClr val="dk1"/>
              </a:solidFill>
              <a:effectLst/>
              <a:latin typeface="Arial" panose="020B0604020202020204" pitchFamily="34" charset="0"/>
              <a:ea typeface="+mn-ea"/>
              <a:cs typeface="Arial" panose="020B0604020202020204" pitchFamily="34" charset="0"/>
            </a:rPr>
            <a:t>m</a:t>
          </a:r>
          <a:r>
            <a:rPr lang="en-GB" sz="1000" baseline="0">
              <a:solidFill>
                <a:schemeClr val="dk1"/>
              </a:solidFill>
              <a:effectLst/>
              <a:latin typeface="Arial" panose="020B0604020202020204" pitchFamily="34" charset="0"/>
              <a:ea typeface="+mn-ea"/>
              <a:cs typeface="Arial" panose="020B0604020202020204" pitchFamily="34" charset="0"/>
            </a:rPr>
            <a:t> * TWA</a:t>
          </a:r>
          <a:endParaRPr lang="fi-FI" sz="1000">
            <a:effectLst/>
            <a:latin typeface="Arial" panose="020B0604020202020204" pitchFamily="34" charset="0"/>
            <a:cs typeface="Arial" panose="020B0604020202020204" pitchFamily="34" charset="0"/>
          </a:endParaRPr>
        </a:p>
        <a:p>
          <a:pPr algn="l"/>
          <a:endParaRPr lang="en-GB" sz="1100" baseline="-25000">
            <a:latin typeface="Arial" panose="020B0604020202020204" pitchFamily="34" charset="0"/>
            <a:cs typeface="Arial" panose="020B0604020202020204" pitchFamily="34" charset="0"/>
          </a:endParaRPr>
        </a:p>
        <a:p>
          <a:pPr algn="l"/>
          <a:endParaRPr lang="en-GB" sz="1100" baseline="0">
            <a:latin typeface="Arial" panose="020B0604020202020204" pitchFamily="34" charset="0"/>
            <a:cs typeface="Arial" panose="020B0604020202020204" pitchFamily="34" charset="0"/>
          </a:endParaRPr>
        </a:p>
        <a:p>
          <a:pPr algn="l"/>
          <a:endParaRPr lang="en-GB" sz="1100" baseline="-25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57198</xdr:colOff>
      <xdr:row>47</xdr:row>
      <xdr:rowOff>147068</xdr:rowOff>
    </xdr:from>
    <xdr:to>
      <xdr:col>5</xdr:col>
      <xdr:colOff>1293161</xdr:colOff>
      <xdr:row>59</xdr:row>
      <xdr:rowOff>184042</xdr:rowOff>
    </xdr:to>
    <mc:AlternateContent xmlns:mc="http://schemas.openxmlformats.org/markup-compatibility/2006" xmlns:sle15="http://schemas.microsoft.com/office/drawing/2012/slicer">
      <mc:Choice Requires="sle15">
        <xdr:graphicFrame macro="">
          <xdr:nvGraphicFramePr>
            <xdr:cNvPr id="10" name="Crop 4">
              <a:extLst>
                <a:ext uri="{FF2B5EF4-FFF2-40B4-BE49-F238E27FC236}">
                  <a16:creationId xmlns:a16="http://schemas.microsoft.com/office/drawing/2014/main" id="{7FBEB37F-96AC-4CEE-8486-14DD5131661E}"/>
                </a:ext>
              </a:extLst>
            </xdr:cNvPr>
            <xdr:cNvGraphicFramePr/>
          </xdr:nvGraphicFramePr>
          <xdr:xfrm>
            <a:off x="0" y="0"/>
            <a:ext cx="0" cy="0"/>
          </xdr:xfrm>
          <a:graphic>
            <a:graphicData uri="http://schemas.microsoft.com/office/drawing/2010/slicer">
              <sle:slicer xmlns:sle="http://schemas.microsoft.com/office/drawing/2010/slicer" name="Crop 4"/>
            </a:graphicData>
          </a:graphic>
        </xdr:graphicFrame>
      </mc:Choice>
      <mc:Fallback xmlns="">
        <xdr:sp macro="" textlink="">
          <xdr:nvSpPr>
            <xdr:cNvPr id="0" name=""/>
            <xdr:cNvSpPr>
              <a:spLocks noTextEdit="1"/>
            </xdr:cNvSpPr>
          </xdr:nvSpPr>
          <xdr:spPr>
            <a:xfrm>
              <a:off x="2420759" y="12257425"/>
              <a:ext cx="5204206" cy="2143360"/>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5</xdr:col>
      <xdr:colOff>1300437</xdr:colOff>
      <xdr:row>47</xdr:row>
      <xdr:rowOff>118155</xdr:rowOff>
    </xdr:from>
    <xdr:to>
      <xdr:col>8</xdr:col>
      <xdr:colOff>517631</xdr:colOff>
      <xdr:row>59</xdr:row>
      <xdr:rowOff>183671</xdr:rowOff>
    </xdr:to>
    <mc:AlternateContent xmlns:mc="http://schemas.openxmlformats.org/markup-compatibility/2006" xmlns:sle15="http://schemas.microsoft.com/office/drawing/2012/slicer">
      <mc:Choice Requires="sle15">
        <xdr:graphicFrame macro="">
          <xdr:nvGraphicFramePr>
            <xdr:cNvPr id="11" name="BBCH Scenario 4">
              <a:extLst>
                <a:ext uri="{FF2B5EF4-FFF2-40B4-BE49-F238E27FC236}">
                  <a16:creationId xmlns:a16="http://schemas.microsoft.com/office/drawing/2014/main" id="{8EC1436E-AD0C-4B41-A036-1EC610EB9F72}"/>
                </a:ext>
              </a:extLst>
            </xdr:cNvPr>
            <xdr:cNvGraphicFramePr/>
          </xdr:nvGraphicFramePr>
          <xdr:xfrm>
            <a:off x="0" y="0"/>
            <a:ext cx="0" cy="0"/>
          </xdr:xfrm>
          <a:graphic>
            <a:graphicData uri="http://schemas.microsoft.com/office/drawing/2010/slicer">
              <sle:slicer xmlns:sle="http://schemas.microsoft.com/office/drawing/2010/slicer" name="BBCH Scenario 4"/>
            </a:graphicData>
          </a:graphic>
        </xdr:graphicFrame>
      </mc:Choice>
      <mc:Fallback xmlns="">
        <xdr:sp macro="" textlink="">
          <xdr:nvSpPr>
            <xdr:cNvPr id="0" name=""/>
            <xdr:cNvSpPr>
              <a:spLocks noTextEdit="1"/>
            </xdr:cNvSpPr>
          </xdr:nvSpPr>
          <xdr:spPr>
            <a:xfrm>
              <a:off x="7632241" y="12228512"/>
              <a:ext cx="4178759" cy="2171902"/>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2</xdr:col>
      <xdr:colOff>154342</xdr:colOff>
      <xdr:row>52</xdr:row>
      <xdr:rowOff>76210</xdr:rowOff>
    </xdr:from>
    <xdr:to>
      <xdr:col>3</xdr:col>
      <xdr:colOff>47625</xdr:colOff>
      <xdr:row>58</xdr:row>
      <xdr:rowOff>34179</xdr:rowOff>
    </xdr:to>
    <mc:AlternateContent xmlns:mc="http://schemas.openxmlformats.org/markup-compatibility/2006" xmlns:sle15="http://schemas.microsoft.com/office/drawing/2012/slicer">
      <mc:Choice Requires="sle15">
        <xdr:graphicFrame macro="">
          <xdr:nvGraphicFramePr>
            <xdr:cNvPr id="12" name="M_AC_T1">
              <a:extLst>
                <a:ext uri="{FF2B5EF4-FFF2-40B4-BE49-F238E27FC236}">
                  <a16:creationId xmlns:a16="http://schemas.microsoft.com/office/drawing/2014/main" id="{75CC6980-FE08-4E33-AB2E-F450BF617BF6}"/>
                </a:ext>
              </a:extLst>
            </xdr:cNvPr>
            <xdr:cNvGraphicFramePr/>
          </xdr:nvGraphicFramePr>
          <xdr:xfrm>
            <a:off x="0" y="0"/>
            <a:ext cx="0" cy="0"/>
          </xdr:xfrm>
          <a:graphic>
            <a:graphicData uri="http://schemas.microsoft.com/office/drawing/2010/slicer">
              <sle:slicer xmlns:sle="http://schemas.microsoft.com/office/drawing/2010/slicer" name="M_AC_T1"/>
            </a:graphicData>
          </a:graphic>
        </xdr:graphicFrame>
      </mc:Choice>
      <mc:Fallback xmlns="">
        <xdr:sp macro="" textlink="">
          <xdr:nvSpPr>
            <xdr:cNvPr id="0" name=""/>
            <xdr:cNvSpPr>
              <a:spLocks noTextEdit="1"/>
            </xdr:cNvSpPr>
          </xdr:nvSpPr>
          <xdr:spPr>
            <a:xfrm>
              <a:off x="957163" y="13056865"/>
              <a:ext cx="1454023" cy="10193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2</xdr:col>
      <xdr:colOff>15688</xdr:colOff>
      <xdr:row>5</xdr:row>
      <xdr:rowOff>100854</xdr:rowOff>
    </xdr:from>
    <xdr:to>
      <xdr:col>6</xdr:col>
      <xdr:colOff>8965</xdr:colOff>
      <xdr:row>6</xdr:row>
      <xdr:rowOff>683559</xdr:rowOff>
    </xdr:to>
    <xdr:sp macro="" textlink="">
      <xdr:nvSpPr>
        <xdr:cNvPr id="14" name="TextBox 13">
          <a:extLst>
            <a:ext uri="{FF2B5EF4-FFF2-40B4-BE49-F238E27FC236}">
              <a16:creationId xmlns:a16="http://schemas.microsoft.com/office/drawing/2014/main" id="{7AF8739C-2876-40BA-8DCC-50EF3859D079}"/>
            </a:ext>
          </a:extLst>
        </xdr:cNvPr>
        <xdr:cNvSpPr txBox="1"/>
      </xdr:nvSpPr>
      <xdr:spPr>
        <a:xfrm>
          <a:off x="811306" y="1098178"/>
          <a:ext cx="7501218" cy="739587"/>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6800" rtlCol="0" anchor="ctr"/>
        <a:lstStyle/>
        <a:p>
          <a:pPr algn="ctr"/>
          <a:r>
            <a:rPr lang="en-GB" sz="1100" b="1" i="0" u="none" strike="noStrike" baseline="0">
              <a:solidFill>
                <a:schemeClr val="dk1"/>
              </a:solidFill>
              <a:latin typeface="Arial" panose="020B0604020202020204" pitchFamily="34" charset="0"/>
              <a:ea typeface="+mn-ea"/>
              <a:cs typeface="Arial" panose="020B0604020202020204" pitchFamily="34" charset="0"/>
            </a:rPr>
            <a:t>Calculation of surrogate LD</a:t>
          </a:r>
          <a:r>
            <a:rPr lang="en-GB" sz="1100" b="1" i="0" u="none" strike="noStrike" baseline="-25000">
              <a:solidFill>
                <a:schemeClr val="dk1"/>
              </a:solidFill>
              <a:latin typeface="Arial" panose="020B0604020202020204" pitchFamily="34" charset="0"/>
              <a:ea typeface="+mn-ea"/>
              <a:cs typeface="Arial" panose="020B0604020202020204" pitchFamily="34" charset="0"/>
            </a:rPr>
            <a:t>50(mix) </a:t>
          </a:r>
          <a:r>
            <a:rPr lang="en-GB" sz="1100" b="1" i="0" u="none" strike="noStrike" baseline="0">
              <a:solidFill>
                <a:schemeClr val="dk1"/>
              </a:solidFill>
              <a:latin typeface="Arial" panose="020B0604020202020204" pitchFamily="34" charset="0"/>
              <a:ea typeface="+mn-ea"/>
              <a:cs typeface="Arial" panose="020B0604020202020204" pitchFamily="34" charset="0"/>
            </a:rPr>
            <a:t>values for acute effects (mortality)</a:t>
          </a:r>
        </a:p>
        <a:p>
          <a:r>
            <a:rPr lang="en-GB" sz="1100" b="0" i="0" u="none" strike="noStrike" baseline="0">
              <a:solidFill>
                <a:schemeClr val="dk1"/>
              </a:solidFill>
              <a:latin typeface="Arial" panose="020B0604020202020204" pitchFamily="34" charset="0"/>
              <a:ea typeface="+mn-ea"/>
              <a:cs typeface="Arial" panose="020B0604020202020204" pitchFamily="34" charset="0"/>
            </a:rPr>
            <a:t>	1) Calculation of toxicity per fraction for the mixture (tpf</a:t>
          </a:r>
          <a:r>
            <a:rPr lang="en-GB" sz="1100" b="0" i="0" u="none" strike="noStrike" baseline="-25000">
              <a:solidFill>
                <a:schemeClr val="dk1"/>
              </a:solidFill>
              <a:latin typeface="Arial" panose="020B0604020202020204" pitchFamily="34" charset="0"/>
              <a:ea typeface="+mn-ea"/>
              <a:cs typeface="Arial" panose="020B0604020202020204" pitchFamily="34" charset="0"/>
            </a:rPr>
            <a:t>(mix)</a:t>
          </a:r>
          <a:r>
            <a:rPr lang="en-GB" sz="1100" b="0" i="0" u="none" strike="noStrike" baseline="0">
              <a:solidFill>
                <a:schemeClr val="dk1"/>
              </a:solidFill>
              <a:latin typeface="Arial" panose="020B0604020202020204" pitchFamily="34" charset="0"/>
              <a:ea typeface="+mn-ea"/>
              <a:cs typeface="Arial" panose="020B0604020202020204" pitchFamily="34" charset="0"/>
            </a:rPr>
            <a:t>), which is equal to the surrogate LD</a:t>
          </a:r>
          <a:r>
            <a:rPr lang="en-GB" sz="1100" b="0" i="0" u="none" strike="noStrike" baseline="-25000">
              <a:solidFill>
                <a:schemeClr val="dk1"/>
              </a:solidFill>
              <a:latin typeface="Arial" panose="020B0604020202020204" pitchFamily="34" charset="0"/>
              <a:ea typeface="+mn-ea"/>
              <a:cs typeface="Arial" panose="020B0604020202020204" pitchFamily="34" charset="0"/>
            </a:rPr>
            <a:t>50 (mix)</a:t>
          </a:r>
        </a:p>
        <a:p>
          <a:r>
            <a:rPr lang="en-GB" sz="1100" b="0" i="0" u="none" strike="noStrike" baseline="0">
              <a:solidFill>
                <a:schemeClr val="dk1"/>
              </a:solidFill>
              <a:latin typeface="Arial" panose="020B0604020202020204" pitchFamily="34" charset="0"/>
              <a:ea typeface="+mn-ea"/>
              <a:cs typeface="Arial" panose="020B0604020202020204" pitchFamily="34" charset="0"/>
            </a:rPr>
            <a:t>	2) Calculation of toxicity per fraction for each single active substance (tpf</a:t>
          </a:r>
          <a:r>
            <a:rPr lang="en-GB" sz="1100" b="0" i="0" u="none" strike="noStrike" baseline="-25000">
              <a:solidFill>
                <a:schemeClr val="dk1"/>
              </a:solidFill>
              <a:latin typeface="Arial" panose="020B0604020202020204" pitchFamily="34" charset="0"/>
              <a:ea typeface="+mn-ea"/>
              <a:cs typeface="Arial" panose="020B0604020202020204" pitchFamily="34" charset="0"/>
            </a:rPr>
            <a:t>(a.s.i)</a:t>
          </a:r>
          <a:r>
            <a:rPr lang="en-GB" sz="1100" b="0" i="0" u="none" strike="noStrike" baseline="0">
              <a:solidFill>
                <a:schemeClr val="dk1"/>
              </a:solidFill>
              <a:latin typeface="Arial" panose="020B0604020202020204" pitchFamily="34" charset="0"/>
              <a:ea typeface="+mn-ea"/>
              <a:cs typeface="Arial" panose="020B0604020202020204" pitchFamily="34" charset="0"/>
            </a:rPr>
            <a:t>)</a:t>
          </a:r>
        </a:p>
      </xdr:txBody>
    </xdr:sp>
    <xdr:clientData/>
  </xdr:twoCellAnchor>
  <xdr:twoCellAnchor>
    <xdr:from>
      <xdr:col>2</xdr:col>
      <xdr:colOff>11207</xdr:colOff>
      <xdr:row>7</xdr:row>
      <xdr:rowOff>80597</xdr:rowOff>
    </xdr:from>
    <xdr:to>
      <xdr:col>6</xdr:col>
      <xdr:colOff>14654</xdr:colOff>
      <xdr:row>8</xdr:row>
      <xdr:rowOff>873198</xdr:rowOff>
    </xdr:to>
    <xdr:sp macro="" textlink="">
      <xdr:nvSpPr>
        <xdr:cNvPr id="15" name="TextBox 14">
          <a:extLst>
            <a:ext uri="{FF2B5EF4-FFF2-40B4-BE49-F238E27FC236}">
              <a16:creationId xmlns:a16="http://schemas.microsoft.com/office/drawing/2014/main" id="{75BC5CFA-253E-4729-B55C-05CEC56E8986}"/>
            </a:ext>
          </a:extLst>
        </xdr:cNvPr>
        <xdr:cNvSpPr txBox="1"/>
      </xdr:nvSpPr>
      <xdr:spPr>
        <a:xfrm>
          <a:off x="809842" y="1970943"/>
          <a:ext cx="7491562" cy="975774"/>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rIns="144000" bIns="46800" rtlCol="0" anchor="ctr"/>
        <a:lstStyle/>
        <a:p>
          <a:pPr algn="ctr"/>
          <a:r>
            <a:rPr lang="en-GB" sz="1100" b="1" i="0" u="none" strike="noStrike" baseline="0">
              <a:solidFill>
                <a:schemeClr val="dk1"/>
              </a:solidFill>
              <a:latin typeface="Arial" panose="020B0604020202020204" pitchFamily="34" charset="0"/>
              <a:ea typeface="+mn-ea"/>
              <a:cs typeface="Arial" panose="020B0604020202020204" pitchFamily="34" charset="0"/>
            </a:rPr>
            <a:t>Assessment of single substance driver</a:t>
          </a:r>
        </a:p>
        <a:p>
          <a:pPr algn="ctr"/>
          <a:r>
            <a:rPr lang="en-GB" sz="1100" b="0" i="0" u="none" strike="noStrike" baseline="0">
              <a:solidFill>
                <a:schemeClr val="dk1"/>
              </a:solidFill>
              <a:latin typeface="Arial" panose="020B0604020202020204" pitchFamily="34" charset="0"/>
              <a:ea typeface="+mn-ea"/>
              <a:cs typeface="Arial" panose="020B0604020202020204" pitchFamily="34" charset="0"/>
            </a:rPr>
            <a:t>     The ratio of tpf</a:t>
          </a:r>
          <a:r>
            <a:rPr lang="en-GB" sz="1100" b="0" i="0" u="none" strike="noStrike" baseline="-25000">
              <a:solidFill>
                <a:schemeClr val="dk1"/>
              </a:solidFill>
              <a:latin typeface="Arial" panose="020B0604020202020204" pitchFamily="34" charset="0"/>
              <a:ea typeface="+mn-ea"/>
              <a:cs typeface="Arial" panose="020B0604020202020204" pitchFamily="34" charset="0"/>
            </a:rPr>
            <a:t>(mix)</a:t>
          </a:r>
          <a:r>
            <a:rPr lang="en-GB" sz="1100" b="0" i="0" u="none" strike="noStrike" baseline="0">
              <a:solidFill>
                <a:schemeClr val="dk1"/>
              </a:solidFill>
              <a:latin typeface="Arial" panose="020B0604020202020204" pitchFamily="34" charset="0"/>
              <a:ea typeface="+mn-ea"/>
              <a:cs typeface="Arial" panose="020B0604020202020204" pitchFamily="34" charset="0"/>
            </a:rPr>
            <a:t> and tpf</a:t>
          </a:r>
          <a:r>
            <a:rPr lang="en-GB" sz="1100" b="0" i="0" u="none" strike="noStrike" baseline="-25000">
              <a:solidFill>
                <a:schemeClr val="dk1"/>
              </a:solidFill>
              <a:latin typeface="Arial" panose="020B0604020202020204" pitchFamily="34" charset="0"/>
              <a:ea typeface="+mn-ea"/>
              <a:cs typeface="Arial" panose="020B0604020202020204" pitchFamily="34" charset="0"/>
            </a:rPr>
            <a:t>(a.s.i)</a:t>
          </a:r>
          <a:r>
            <a:rPr lang="en-GB" sz="1100" b="0" i="0" u="none" strike="noStrike" baseline="0">
              <a:solidFill>
                <a:schemeClr val="dk1"/>
              </a:solidFill>
              <a:latin typeface="Arial" panose="020B0604020202020204" pitchFamily="34" charset="0"/>
              <a:ea typeface="+mn-ea"/>
              <a:cs typeface="Arial" panose="020B0604020202020204" pitchFamily="34" charset="0"/>
            </a:rPr>
            <a:t> is calculated for each active substance. If the deviation of tpf</a:t>
          </a:r>
          <a:r>
            <a:rPr lang="en-GB" sz="1100" b="0" i="0" u="none" strike="noStrike" baseline="-25000">
              <a:solidFill>
                <a:schemeClr val="dk1"/>
              </a:solidFill>
              <a:latin typeface="Arial" panose="020B0604020202020204" pitchFamily="34" charset="0"/>
              <a:ea typeface="+mn-ea"/>
              <a:cs typeface="Arial" panose="020B0604020202020204" pitchFamily="34" charset="0"/>
            </a:rPr>
            <a:t>(a.s.i)</a:t>
          </a:r>
          <a:r>
            <a:rPr lang="en-GB" sz="1100" b="0" i="0" u="none" strike="noStrike" baseline="0">
              <a:solidFill>
                <a:schemeClr val="dk1"/>
              </a:solidFill>
              <a:latin typeface="Arial" panose="020B0604020202020204" pitchFamily="34" charset="0"/>
              <a:ea typeface="+mn-ea"/>
              <a:cs typeface="Arial" panose="020B0604020202020204" pitchFamily="34" charset="0"/>
            </a:rPr>
            <a:t> from tpf</a:t>
          </a:r>
          <a:r>
            <a:rPr lang="en-GB" sz="1100" b="0" i="0" u="none" strike="noStrike" baseline="-25000">
              <a:solidFill>
                <a:schemeClr val="dk1"/>
              </a:solidFill>
              <a:latin typeface="Arial" panose="020B0604020202020204" pitchFamily="34" charset="0"/>
              <a:ea typeface="+mn-ea"/>
              <a:cs typeface="Arial" panose="020B0604020202020204" pitchFamily="34" charset="0"/>
            </a:rPr>
            <a:t>(mix)</a:t>
          </a:r>
          <a:r>
            <a:rPr lang="en-GB" sz="1100" b="0" i="0" u="none" strike="noStrike" baseline="0">
              <a:solidFill>
                <a:schemeClr val="dk1"/>
              </a:solidFill>
              <a:latin typeface="Arial" panose="020B0604020202020204" pitchFamily="34" charset="0"/>
              <a:ea typeface="+mn-ea"/>
              <a:cs typeface="Arial" panose="020B0604020202020204" pitchFamily="34" charset="0"/>
            </a:rPr>
            <a:t> is ≤ 10 % for any substance, that substance is considered to contribute ≥ 90 % of the calculated mixture toxicity and the assessment can be based on that substance alone.</a:t>
          </a:r>
        </a:p>
      </xdr:txBody>
    </xdr:sp>
    <xdr:clientData/>
  </xdr:twoCellAnchor>
  <xdr:twoCellAnchor>
    <xdr:from>
      <xdr:col>2</xdr:col>
      <xdr:colOff>8283</xdr:colOff>
      <xdr:row>39</xdr:row>
      <xdr:rowOff>214561</xdr:rowOff>
    </xdr:from>
    <xdr:to>
      <xdr:col>6</xdr:col>
      <xdr:colOff>3473</xdr:colOff>
      <xdr:row>45</xdr:row>
      <xdr:rowOff>2638</xdr:rowOff>
    </xdr:to>
    <xdr:grpSp>
      <xdr:nvGrpSpPr>
        <xdr:cNvPr id="3" name="Group 2">
          <a:extLst>
            <a:ext uri="{FF2B5EF4-FFF2-40B4-BE49-F238E27FC236}">
              <a16:creationId xmlns:a16="http://schemas.microsoft.com/office/drawing/2014/main" id="{EEBCBF72-C76F-43CC-B873-BA94C523F6AF}"/>
            </a:ext>
          </a:extLst>
        </xdr:cNvPr>
        <xdr:cNvGrpSpPr/>
      </xdr:nvGrpSpPr>
      <xdr:grpSpPr>
        <a:xfrm>
          <a:off x="808383" y="10653961"/>
          <a:ext cx="7491365" cy="978702"/>
          <a:chOff x="800143" y="10708817"/>
          <a:chExt cx="7483291" cy="980037"/>
        </a:xfrm>
      </xdr:grpSpPr>
      <xdr:grpSp>
        <xdr:nvGrpSpPr>
          <xdr:cNvPr id="2" name="Group 1">
            <a:extLst>
              <a:ext uri="{FF2B5EF4-FFF2-40B4-BE49-F238E27FC236}">
                <a16:creationId xmlns:a16="http://schemas.microsoft.com/office/drawing/2014/main" id="{AA6A4320-B6FF-4633-9ADE-A18D042008DC}"/>
              </a:ext>
            </a:extLst>
          </xdr:cNvPr>
          <xdr:cNvGrpSpPr/>
        </xdr:nvGrpSpPr>
        <xdr:grpSpPr>
          <a:xfrm>
            <a:off x="800143" y="10708817"/>
            <a:ext cx="7483024" cy="977898"/>
            <a:chOff x="800143" y="10708817"/>
            <a:chExt cx="7483024" cy="977898"/>
          </a:xfrm>
        </xdr:grpSpPr>
        <xdr:sp macro="" textlink="">
          <xdr:nvSpPr>
            <xdr:cNvPr id="16" name="TextBox 15">
              <a:extLst>
                <a:ext uri="{FF2B5EF4-FFF2-40B4-BE49-F238E27FC236}">
                  <a16:creationId xmlns:a16="http://schemas.microsoft.com/office/drawing/2014/main" id="{882F61F7-BFB7-4515-B697-5A51FCE2B132}"/>
                </a:ext>
              </a:extLst>
            </xdr:cNvPr>
            <xdr:cNvSpPr txBox="1"/>
          </xdr:nvSpPr>
          <xdr:spPr>
            <a:xfrm>
              <a:off x="800143" y="10708817"/>
              <a:ext cx="7483024" cy="601436"/>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6800" rtlCol="0" anchor="ctr"/>
            <a:lstStyle/>
            <a:p>
              <a:pPr algn="ctr"/>
              <a:r>
                <a:rPr lang="en-GB" sz="1100" b="0" i="0" u="none" strike="noStrike" baseline="0">
                  <a:solidFill>
                    <a:schemeClr val="dk1"/>
                  </a:solidFill>
                  <a:latin typeface="Arial" panose="020B0604020202020204" pitchFamily="34" charset="0"/>
                  <a:ea typeface="+mn-ea"/>
                  <a:cs typeface="Arial" panose="020B0604020202020204" pitchFamily="34" charset="0"/>
                </a:rPr>
                <a:t>Scenario-input is used in the Tier 1 assessment, together with the endpoint indicated below.</a:t>
              </a:r>
            </a:p>
            <a:p>
              <a:pPr algn="ctr"/>
              <a:r>
                <a:rPr lang="en-GB" sz="1100" b="0" i="0" u="none" strike="noStrike" baseline="0">
                  <a:solidFill>
                    <a:schemeClr val="dk1"/>
                  </a:solidFill>
                  <a:latin typeface="Arial" panose="020B0604020202020204" pitchFamily="34" charset="0"/>
                  <a:ea typeface="+mn-ea"/>
                  <a:cs typeface="Arial" panose="020B0604020202020204" pitchFamily="34" charset="0"/>
                </a:rPr>
                <a:t>Filter the table below for relevant scenarios. Column TER</a:t>
              </a:r>
              <a:r>
                <a:rPr lang="en-GB" sz="1100" b="0" i="0" u="none" strike="noStrike" baseline="-25000">
                  <a:solidFill>
                    <a:schemeClr val="dk1"/>
                  </a:solidFill>
                  <a:latin typeface="Arial" panose="020B0604020202020204" pitchFamily="34" charset="0"/>
                  <a:ea typeface="+mn-ea"/>
                  <a:cs typeface="Arial" panose="020B0604020202020204" pitchFamily="34" charset="0"/>
                </a:rPr>
                <a:t>mix</a:t>
              </a:r>
              <a:r>
                <a:rPr lang="en-GB" sz="1100" b="0" i="0" u="none" strike="noStrike" baseline="0">
                  <a:solidFill>
                    <a:schemeClr val="dk1"/>
                  </a:solidFill>
                  <a:latin typeface="Arial" panose="020B0604020202020204" pitchFamily="34" charset="0"/>
                  <a:ea typeface="+mn-ea"/>
                  <a:cs typeface="Arial" panose="020B0604020202020204" pitchFamily="34" charset="0"/>
                </a:rPr>
                <a:t> indicates whether the risk is acceptable or not:</a:t>
              </a:r>
            </a:p>
          </xdr:txBody>
        </xdr:sp>
        <xdr:sp macro="" textlink="">
          <xdr:nvSpPr>
            <xdr:cNvPr id="17" name="TextBox 16">
              <a:extLst>
                <a:ext uri="{FF2B5EF4-FFF2-40B4-BE49-F238E27FC236}">
                  <a16:creationId xmlns:a16="http://schemas.microsoft.com/office/drawing/2014/main" id="{C8F0D059-1944-47F7-92BA-6E7399469BF6}"/>
                </a:ext>
              </a:extLst>
            </xdr:cNvPr>
            <xdr:cNvSpPr txBox="1"/>
          </xdr:nvSpPr>
          <xdr:spPr>
            <a:xfrm>
              <a:off x="800143" y="11308614"/>
              <a:ext cx="3741064" cy="378101"/>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000" b="0" i="0" u="none" strike="noStrike" baseline="0">
                  <a:solidFill>
                    <a:schemeClr val="accent6">
                      <a:lumMod val="50000"/>
                    </a:schemeClr>
                  </a:solidFill>
                  <a:latin typeface="Arial" panose="020B0604020202020204" pitchFamily="34" charset="0"/>
                  <a:ea typeface="+mn-ea"/>
                  <a:cs typeface="Arial" panose="020B0604020202020204" pitchFamily="34" charset="0"/>
                </a:rPr>
                <a:t>No unacceptable risk. </a:t>
              </a:r>
            </a:p>
            <a:p>
              <a:pPr algn="ctr"/>
              <a:r>
                <a:rPr lang="en-GB" sz="1000" b="0" i="0" u="none" strike="noStrike" baseline="0">
                  <a:solidFill>
                    <a:schemeClr val="accent6">
                      <a:lumMod val="50000"/>
                    </a:schemeClr>
                  </a:solidFill>
                  <a:latin typeface="Arial" panose="020B0604020202020204" pitchFamily="34" charset="0"/>
                  <a:ea typeface="+mn-ea"/>
                  <a:cs typeface="Arial" panose="020B0604020202020204" pitchFamily="34" charset="0"/>
                </a:rPr>
                <a:t>TER</a:t>
              </a:r>
              <a:r>
                <a:rPr lang="en-GB" sz="1000" b="0" i="0" u="none" strike="noStrike" baseline="-25000">
                  <a:solidFill>
                    <a:schemeClr val="accent6">
                      <a:lumMod val="50000"/>
                    </a:schemeClr>
                  </a:solidFill>
                  <a:latin typeface="Arial" panose="020B0604020202020204" pitchFamily="34" charset="0"/>
                  <a:ea typeface="+mn-ea"/>
                  <a:cs typeface="Arial" panose="020B0604020202020204" pitchFamily="34" charset="0"/>
                </a:rPr>
                <a:t>mix</a:t>
              </a:r>
              <a:r>
                <a:rPr lang="en-GB" sz="1000" b="0" i="0" u="none" strike="noStrike" baseline="0">
                  <a:solidFill>
                    <a:schemeClr val="accent6">
                      <a:lumMod val="50000"/>
                    </a:schemeClr>
                  </a:solidFill>
                  <a:latin typeface="Arial" panose="020B0604020202020204" pitchFamily="34" charset="0"/>
                  <a:ea typeface="+mn-ea"/>
                  <a:cs typeface="Arial" panose="020B0604020202020204" pitchFamily="34" charset="0"/>
                </a:rPr>
                <a:t> is above the standard trigger of 10.</a:t>
              </a:r>
            </a:p>
          </xdr:txBody>
        </xdr:sp>
      </xdr:grpSp>
      <xdr:sp macro="" textlink="">
        <xdr:nvSpPr>
          <xdr:cNvPr id="18" name="TextBox 17">
            <a:extLst>
              <a:ext uri="{FF2B5EF4-FFF2-40B4-BE49-F238E27FC236}">
                <a16:creationId xmlns:a16="http://schemas.microsoft.com/office/drawing/2014/main" id="{E1983C93-5484-4F09-B7CF-B53FC681B0AF}"/>
              </a:ext>
            </a:extLst>
          </xdr:cNvPr>
          <xdr:cNvSpPr txBox="1"/>
        </xdr:nvSpPr>
        <xdr:spPr>
          <a:xfrm>
            <a:off x="4541165" y="11308613"/>
            <a:ext cx="3742269" cy="380241"/>
          </a:xfrm>
          <a:prstGeom prst="rect">
            <a:avLst/>
          </a:prstGeom>
          <a:solidFill>
            <a:srgbClr val="FFAFA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000" b="0" i="0" u="none" strike="noStrike" baseline="0">
                <a:solidFill>
                  <a:srgbClr val="A80000"/>
                </a:solidFill>
                <a:latin typeface="Arial" panose="020B0604020202020204" pitchFamily="34" charset="0"/>
                <a:ea typeface="+mn-ea"/>
                <a:cs typeface="Arial" panose="020B0604020202020204" pitchFamily="34" charset="0"/>
              </a:rPr>
              <a:t>Unacceptable risk. </a:t>
            </a:r>
          </a:p>
          <a:p>
            <a:pPr algn="ctr"/>
            <a:r>
              <a:rPr lang="en-GB" sz="1000" b="0" i="0" u="none" strike="noStrike" baseline="0">
                <a:solidFill>
                  <a:srgbClr val="A80000"/>
                </a:solidFill>
                <a:latin typeface="Arial" panose="020B0604020202020204" pitchFamily="34" charset="0"/>
                <a:ea typeface="+mn-ea"/>
                <a:cs typeface="Arial" panose="020B0604020202020204" pitchFamily="34" charset="0"/>
              </a:rPr>
              <a:t>TER</a:t>
            </a:r>
            <a:r>
              <a:rPr lang="en-GB" sz="1000" b="0" i="0" u="none" strike="noStrike" baseline="-25000">
                <a:solidFill>
                  <a:srgbClr val="A80000"/>
                </a:solidFill>
                <a:latin typeface="Arial" panose="020B0604020202020204" pitchFamily="34" charset="0"/>
                <a:ea typeface="+mn-ea"/>
                <a:cs typeface="Arial" panose="020B0604020202020204" pitchFamily="34" charset="0"/>
              </a:rPr>
              <a:t>mix</a:t>
            </a:r>
            <a:r>
              <a:rPr lang="en-GB" sz="1000" b="0" i="0" u="none" strike="noStrike" baseline="0">
                <a:solidFill>
                  <a:srgbClr val="A80000"/>
                </a:solidFill>
                <a:latin typeface="Arial" panose="020B0604020202020204" pitchFamily="34" charset="0"/>
                <a:ea typeface="+mn-ea"/>
                <a:cs typeface="Arial" panose="020B0604020202020204" pitchFamily="34" charset="0"/>
              </a:rPr>
              <a:t> is below the standard trigger of 10.</a:t>
            </a:r>
          </a:p>
        </xdr:txBody>
      </xdr:sp>
    </xdr:grpSp>
    <xdr:clientData/>
  </xdr:twoCellAnchor>
  <xdr:twoCellAnchor>
    <xdr:from>
      <xdr:col>2</xdr:col>
      <xdr:colOff>13608</xdr:colOff>
      <xdr:row>216</xdr:row>
      <xdr:rowOff>13607</xdr:rowOff>
    </xdr:from>
    <xdr:to>
      <xdr:col>7</xdr:col>
      <xdr:colOff>517632</xdr:colOff>
      <xdr:row>230</xdr:row>
      <xdr:rowOff>8245</xdr:rowOff>
    </xdr:to>
    <xdr:sp macro="" textlink="">
      <xdr:nvSpPr>
        <xdr:cNvPr id="30" name="TextBox 29">
          <a:extLst>
            <a:ext uri="{FF2B5EF4-FFF2-40B4-BE49-F238E27FC236}">
              <a16:creationId xmlns:a16="http://schemas.microsoft.com/office/drawing/2014/main" id="{A8E1F720-2006-43AD-9C55-0AB4856ED96D}"/>
            </a:ext>
          </a:extLst>
        </xdr:cNvPr>
        <xdr:cNvSpPr txBox="1"/>
      </xdr:nvSpPr>
      <xdr:spPr>
        <a:xfrm>
          <a:off x="816429" y="22574250"/>
          <a:ext cx="10001810" cy="2307852"/>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6800" rtlCol="0" anchor="ctr"/>
        <a:lstStyle/>
        <a:p>
          <a:r>
            <a:rPr lang="en-GB" sz="1100" b="1">
              <a:solidFill>
                <a:schemeClr val="dk1"/>
              </a:solidFill>
              <a:effectLst/>
              <a:latin typeface="+mn-lt"/>
              <a:ea typeface="+mn-ea"/>
              <a:cs typeface="+mn-cs"/>
            </a:rPr>
            <a:t>Northern Zone Guidance Document (2021 version)*</a:t>
          </a:r>
          <a:br>
            <a:rPr lang="en-GB" sz="1100" b="1">
              <a:solidFill>
                <a:schemeClr val="dk1"/>
              </a:solidFill>
              <a:effectLst/>
              <a:latin typeface="+mn-lt"/>
              <a:ea typeface="+mn-ea"/>
              <a:cs typeface="+mn-cs"/>
            </a:rPr>
          </a:br>
          <a:r>
            <a:rPr lang="en-GB" sz="1100">
              <a:solidFill>
                <a:schemeClr val="dk1"/>
              </a:solidFill>
              <a:effectLst/>
              <a:latin typeface="+mn-lt"/>
              <a:ea typeface="+mn-ea"/>
              <a:cs typeface="+mn-cs"/>
            </a:rPr>
            <a:t>No refinements of the EFSA tier 1 assessment scenarios are accepted, except that MAF- and TWA-factors may be refined if adequate substance specific data on DT</a:t>
          </a:r>
          <a:r>
            <a:rPr lang="en-GB" sz="1100" baseline="-25000">
              <a:solidFill>
                <a:schemeClr val="dk1"/>
              </a:solidFill>
              <a:effectLst/>
              <a:latin typeface="+mn-lt"/>
              <a:ea typeface="+mn-ea"/>
              <a:cs typeface="+mn-cs"/>
            </a:rPr>
            <a:t>50</a:t>
          </a:r>
          <a:r>
            <a:rPr lang="en-GB" sz="1100">
              <a:solidFill>
                <a:schemeClr val="dk1"/>
              </a:solidFill>
              <a:effectLst/>
              <a:latin typeface="+mn-lt"/>
              <a:ea typeface="+mn-ea"/>
              <a:cs typeface="+mn-cs"/>
            </a:rPr>
            <a:t> in plants are available. Please refer to the Northern Zone Higher Tie guidance document, section 4.4 for requirements concerning refinement of DT</a:t>
          </a:r>
          <a:r>
            <a:rPr lang="en-GB" sz="1100" baseline="-25000">
              <a:solidFill>
                <a:schemeClr val="dk1"/>
              </a:solidFill>
              <a:effectLst/>
              <a:latin typeface="+mn-lt"/>
              <a:ea typeface="+mn-ea"/>
              <a:cs typeface="+mn-cs"/>
            </a:rPr>
            <a:t>50</a:t>
          </a:r>
          <a:r>
            <a:rPr lang="en-GB" sz="1100">
              <a:solidFill>
                <a:schemeClr val="dk1"/>
              </a:solidFill>
              <a:effectLst/>
              <a:latin typeface="+mn-lt"/>
              <a:ea typeface="+mn-ea"/>
              <a:cs typeface="+mn-cs"/>
            </a:rPr>
            <a:t>.</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When further refinements of the risk assessment are necessary, the Northern Zone higher tier guidance document describing relevant scenarios to be used in a higher tier risk assessment should be used together with the associated spreadsheet.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When a higher tier assessment is triggered, by any generic focal species at Tier 1 in a crop/growth stage scenario, the risk should be assessed for all NZ higher tier focal species relevant for that crop/growth stage scenario. All focal species required for the crop and growth stage in question according to the Northern Zone higher tier guidance document are relevant, even if the focal species were already assessed as generic focal species at tier 1. The main reason for this is that the tier 1 scenarios are not necessarily worst case with respect to diet in the Northern Zone, where some of the generic focal species are rare or missing and the niches of the remaining focal species may thus be broader. Higher tier TER calculations are however not required for generic focal species which passed the trigger by a factor of 2 or more at tier 1.</a:t>
          </a:r>
          <a:endParaRPr lang="fi-FI" sz="1100">
            <a:solidFill>
              <a:schemeClr val="dk1"/>
            </a:solidFill>
            <a:effectLst/>
            <a:latin typeface="+mn-lt"/>
            <a:ea typeface="+mn-ea"/>
            <a:cs typeface="+mn-cs"/>
          </a:endParaRPr>
        </a:p>
      </xdr:txBody>
    </xdr:sp>
    <xdr:clientData/>
  </xdr:twoCellAnchor>
  <xdr:twoCellAnchor>
    <xdr:from>
      <xdr:col>9</xdr:col>
      <xdr:colOff>1</xdr:colOff>
      <xdr:row>5</xdr:row>
      <xdr:rowOff>63471</xdr:rowOff>
    </xdr:from>
    <xdr:to>
      <xdr:col>13</xdr:col>
      <xdr:colOff>849063</xdr:colOff>
      <xdr:row>54</xdr:row>
      <xdr:rowOff>112058</xdr:rowOff>
    </xdr:to>
    <xdr:grpSp>
      <xdr:nvGrpSpPr>
        <xdr:cNvPr id="4" name="Group 3">
          <a:extLst>
            <a:ext uri="{FF2B5EF4-FFF2-40B4-BE49-F238E27FC236}">
              <a16:creationId xmlns:a16="http://schemas.microsoft.com/office/drawing/2014/main" id="{49F1B961-B82C-4A96-AA27-AE0FA02A072E}"/>
            </a:ext>
          </a:extLst>
        </xdr:cNvPr>
        <xdr:cNvGrpSpPr/>
      </xdr:nvGrpSpPr>
      <xdr:grpSpPr>
        <a:xfrm>
          <a:off x="12306301" y="1063596"/>
          <a:ext cx="5382962" cy="12421562"/>
          <a:chOff x="12315266" y="1049589"/>
          <a:chExt cx="5376238" cy="12117322"/>
        </a:xfrm>
      </xdr:grpSpPr>
      <xdr:grpSp>
        <xdr:nvGrpSpPr>
          <xdr:cNvPr id="20" name="Group 19">
            <a:extLst>
              <a:ext uri="{FF2B5EF4-FFF2-40B4-BE49-F238E27FC236}">
                <a16:creationId xmlns:a16="http://schemas.microsoft.com/office/drawing/2014/main" id="{AEEF9119-C10B-48BF-B200-235CF083B3BA}"/>
              </a:ext>
            </a:extLst>
          </xdr:cNvPr>
          <xdr:cNvGrpSpPr/>
        </xdr:nvGrpSpPr>
        <xdr:grpSpPr>
          <a:xfrm>
            <a:off x="12318017" y="1049589"/>
            <a:ext cx="5361811" cy="8793626"/>
            <a:chOff x="12605092" y="1011441"/>
            <a:chExt cx="4870178" cy="8933292"/>
          </a:xfrm>
        </xdr:grpSpPr>
        <xdr:sp macro="" textlink="">
          <xdr:nvSpPr>
            <xdr:cNvPr id="22" name="TextBox 21">
              <a:extLst>
                <a:ext uri="{FF2B5EF4-FFF2-40B4-BE49-F238E27FC236}">
                  <a16:creationId xmlns:a16="http://schemas.microsoft.com/office/drawing/2014/main" id="{992B0BB1-01CE-43C2-89A3-C91960796B9B}"/>
                </a:ext>
              </a:extLst>
            </xdr:cNvPr>
            <xdr:cNvSpPr txBox="1"/>
          </xdr:nvSpPr>
          <xdr:spPr>
            <a:xfrm>
              <a:off x="12614999" y="6493213"/>
              <a:ext cx="4860000" cy="3451520"/>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b="0" i="0" u="none" strike="noStrike" baseline="0">
                  <a:solidFill>
                    <a:schemeClr val="dk1"/>
                  </a:solidFill>
                  <a:latin typeface="Arial" panose="020B0604020202020204" pitchFamily="34" charset="0"/>
                  <a:ea typeface="+mn-ea"/>
                  <a:cs typeface="Arial" panose="020B0604020202020204" pitchFamily="34" charset="0"/>
                </a:rPr>
                <a:t>Formulation may be more toxic than predicted based in the active substances. This may be due to, e.g. further toxic co-formulants, toxicokinetic interaction or synergism/potentiation of effect. </a:t>
              </a:r>
              <a:r>
                <a:rPr lang="en-GB" sz="1100" b="0" i="0" baseline="0">
                  <a:solidFill>
                    <a:schemeClr val="dk1"/>
                  </a:solidFill>
                  <a:effectLst/>
                  <a:latin typeface="Arial" panose="020B0604020202020204" pitchFamily="34" charset="0"/>
                  <a:ea typeface="+mn-ea"/>
                  <a:cs typeface="Arial" panose="020B0604020202020204" pitchFamily="34" charset="0"/>
                </a:rPr>
                <a:t>It may also reflect the inherent variability of toxicity testing. </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In all these cases, the use of the LD</a:t>
              </a:r>
              <a:r>
                <a:rPr lang="en-GB" sz="1100" b="0" i="0" baseline="-25000">
                  <a:solidFill>
                    <a:schemeClr val="dk1"/>
                  </a:solidFill>
                  <a:effectLst/>
                  <a:latin typeface="Arial" panose="020B0604020202020204" pitchFamily="34" charset="0"/>
                  <a:ea typeface="+mn-ea"/>
                  <a:cs typeface="Arial" panose="020B0604020202020204" pitchFamily="34" charset="0"/>
                </a:rPr>
                <a:t>50</a:t>
              </a:r>
              <a:r>
                <a:rPr lang="en-GB" sz="1100" b="0" i="0" baseline="0">
                  <a:solidFill>
                    <a:schemeClr val="dk1"/>
                  </a:solidFill>
                  <a:effectLst/>
                  <a:latin typeface="Arial" panose="020B0604020202020204" pitchFamily="34" charset="0"/>
                  <a:ea typeface="+mn-ea"/>
                  <a:cs typeface="Arial" panose="020B0604020202020204" pitchFamily="34" charset="0"/>
                </a:rPr>
                <a:t> for the formulation is recommended for the first-tier assessment, because it cannot be excluded that such effects would also occur after exposure of animals to residues in the environment. </a:t>
              </a:r>
            </a:p>
            <a:p>
              <a:endParaRPr lang="en-FI" sz="1100">
                <a:effectLst/>
                <a:latin typeface="Arial" panose="020B0604020202020204" pitchFamily="34" charset="0"/>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Acute toxicity studies with formulations are mainly performed for classification purposes and are not designed for the derivation of a precise LD</a:t>
              </a:r>
              <a:r>
                <a:rPr lang="en-GB" sz="1100" b="0" i="0" baseline="-25000">
                  <a:solidFill>
                    <a:schemeClr val="dk1"/>
                  </a:solidFill>
                  <a:effectLst/>
                  <a:latin typeface="Arial" panose="020B0604020202020204" pitchFamily="34" charset="0"/>
                  <a:ea typeface="+mn-ea"/>
                  <a:cs typeface="Arial" panose="020B0604020202020204" pitchFamily="34" charset="0"/>
                </a:rPr>
                <a:t>50</a:t>
              </a:r>
              <a:r>
                <a:rPr lang="en-GB" sz="1100" b="0" i="0" baseline="0">
                  <a:solidFill>
                    <a:schemeClr val="dk1"/>
                  </a:solidFill>
                  <a:effectLst/>
                  <a:latin typeface="Arial" panose="020B0604020202020204" pitchFamily="34" charset="0"/>
                  <a:ea typeface="+mn-ea"/>
                  <a:cs typeface="Arial" panose="020B0604020202020204" pitchFamily="34" charset="0"/>
                </a:rPr>
                <a:t>. Still, these studies should be considered in the risk assessment as they might provide indications for greater toxicity than expected from the studies with active substances due to, e.g. toxic co-formulants or synergism. In such cases, the use of ‘greater than’ LD</a:t>
              </a:r>
              <a:r>
                <a:rPr lang="en-GB" sz="1100" b="0" i="0" baseline="-25000">
                  <a:solidFill>
                    <a:schemeClr val="dk1"/>
                  </a:solidFill>
                  <a:effectLst/>
                  <a:latin typeface="Arial" panose="020B0604020202020204" pitchFamily="34" charset="0"/>
                  <a:ea typeface="+mn-ea"/>
                  <a:cs typeface="Arial" panose="020B0604020202020204" pitchFamily="34" charset="0"/>
                </a:rPr>
                <a:t>50</a:t>
              </a:r>
              <a:r>
                <a:rPr lang="en-GB" sz="1100" b="0" i="0" baseline="0">
                  <a:solidFill>
                    <a:schemeClr val="dk1"/>
                  </a:solidFill>
                  <a:effectLst/>
                  <a:latin typeface="Arial" panose="020B0604020202020204" pitchFamily="34" charset="0"/>
                  <a:ea typeface="+mn-ea"/>
                  <a:cs typeface="Arial" panose="020B0604020202020204" pitchFamily="34" charset="0"/>
                </a:rPr>
                <a:t> from a formulation study would be more precautionary and appropriate than a predicted LD</a:t>
              </a:r>
              <a:r>
                <a:rPr lang="en-GB" sz="1100" b="0" i="0" baseline="-25000">
                  <a:solidFill>
                    <a:schemeClr val="dk1"/>
                  </a:solidFill>
                  <a:effectLst/>
                  <a:latin typeface="Arial" panose="020B0604020202020204" pitchFamily="34" charset="0"/>
                  <a:ea typeface="+mn-ea"/>
                  <a:cs typeface="Arial" panose="020B0604020202020204" pitchFamily="34" charset="0"/>
                </a:rPr>
                <a:t>50</a:t>
              </a:r>
              <a:r>
                <a:rPr lang="en-GB" sz="1100" b="0" i="0" baseline="0">
                  <a:solidFill>
                    <a:schemeClr val="dk1"/>
                  </a:solidFill>
                  <a:effectLst/>
                  <a:latin typeface="Arial" panose="020B0604020202020204" pitchFamily="34" charset="0"/>
                  <a:ea typeface="+mn-ea"/>
                  <a:cs typeface="Arial" panose="020B0604020202020204" pitchFamily="34" charset="0"/>
                </a:rPr>
                <a:t>.</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a:effectLst/>
                  <a:latin typeface="Arial" panose="020B0604020202020204" pitchFamily="34" charset="0"/>
                  <a:cs typeface="Arial" panose="020B0604020202020204" pitchFamily="34" charset="0"/>
                </a:rPr>
                <a:t>However,</a:t>
              </a:r>
              <a:r>
                <a:rPr lang="en-GB" sz="1100" baseline="0">
                  <a:effectLst/>
                  <a:latin typeface="Arial" panose="020B0604020202020204" pitchFamily="34" charset="0"/>
                  <a:cs typeface="Arial" panose="020B0604020202020204" pitchFamily="34" charset="0"/>
                </a:rPr>
                <a:t> a</a:t>
              </a:r>
              <a:r>
                <a:rPr lang="en-GB" sz="1100">
                  <a:effectLst/>
                  <a:latin typeface="Arial" panose="020B0604020202020204" pitchFamily="34" charset="0"/>
                  <a:cs typeface="Arial" panose="020B0604020202020204" pitchFamily="34" charset="0"/>
                </a:rPr>
                <a:t> limit test endpoint may not necessarily reflect higher toxicity of the formulation, as dose spacing may contribute to overestimate the toxicity. </a:t>
              </a:r>
              <a:endParaRPr lang="en-FI" sz="1100">
                <a:effectLst/>
                <a:latin typeface="Arial" panose="020B0604020202020204" pitchFamily="34" charset="0"/>
                <a:cs typeface="Arial" panose="020B0604020202020204" pitchFamily="34" charset="0"/>
              </a:endParaRPr>
            </a:p>
          </xdr:txBody>
        </xdr:sp>
        <xdr:grpSp>
          <xdr:nvGrpSpPr>
            <xdr:cNvPr id="23" name="Group 22">
              <a:extLst>
                <a:ext uri="{FF2B5EF4-FFF2-40B4-BE49-F238E27FC236}">
                  <a16:creationId xmlns:a16="http://schemas.microsoft.com/office/drawing/2014/main" id="{C12B12C9-64C0-498D-92B3-C3431FF6117B}"/>
                </a:ext>
              </a:extLst>
            </xdr:cNvPr>
            <xdr:cNvGrpSpPr/>
          </xdr:nvGrpSpPr>
          <xdr:grpSpPr>
            <a:xfrm>
              <a:off x="12605092" y="1011441"/>
              <a:ext cx="4870178" cy="4915960"/>
              <a:chOff x="12598129" y="1021607"/>
              <a:chExt cx="4882552" cy="4939213"/>
            </a:xfrm>
          </xdr:grpSpPr>
          <xdr:sp macro="" textlink="">
            <xdr:nvSpPr>
              <xdr:cNvPr id="24" name="TextBox 23">
                <a:extLst>
                  <a:ext uri="{FF2B5EF4-FFF2-40B4-BE49-F238E27FC236}">
                    <a16:creationId xmlns:a16="http://schemas.microsoft.com/office/drawing/2014/main" id="{DBF7DD71-8930-4231-AFF0-507C3BC02EC1}"/>
                  </a:ext>
                </a:extLst>
              </xdr:cNvPr>
              <xdr:cNvSpPr txBox="1"/>
            </xdr:nvSpPr>
            <xdr:spPr>
              <a:xfrm>
                <a:off x="12598406" y="1021607"/>
                <a:ext cx="4872348" cy="1683036"/>
              </a:xfrm>
              <a:prstGeom prst="rect">
                <a:avLst/>
              </a:prstGeom>
              <a:solidFill>
                <a:srgbClr val="F3F2E7"/>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b="0" i="0" u="none" strike="noStrike" baseline="0">
                    <a:solidFill>
                      <a:schemeClr val="dk1"/>
                    </a:solidFill>
                    <a:latin typeface="Arial" panose="020B0604020202020204" pitchFamily="34" charset="0"/>
                    <a:ea typeface="+mn-ea"/>
                    <a:cs typeface="Arial" panose="020B0604020202020204" pitchFamily="34" charset="0"/>
                  </a:rPr>
                  <a:t>If one active substance can be identified where the two quotients “tox per fraction (a.s.)” and “tox per fraction (mix)” deviate by ≤ 10 %, this indicates that this active substance will contribute to ≥ 90 % to mixture toxicity, while the other components of the mixture will only have a marginal impact on the predicted risk. </a:t>
                </a:r>
              </a:p>
              <a:p>
                <a:endParaRPr lang="en-GB" sz="1100" b="0" i="0" u="none" strike="noStrike" baseline="0">
                  <a:solidFill>
                    <a:schemeClr val="dk1"/>
                  </a:solidFill>
                  <a:latin typeface="Arial" panose="020B0604020202020204" pitchFamily="34" charset="0"/>
                  <a:ea typeface="+mn-ea"/>
                  <a:cs typeface="Arial" panose="020B0604020202020204" pitchFamily="34" charset="0"/>
                </a:endParaRPr>
              </a:p>
              <a:p>
                <a:r>
                  <a:rPr lang="en-GB" sz="1100" b="0" i="0" u="none" strike="noStrike" baseline="0">
                    <a:solidFill>
                      <a:schemeClr val="dk1"/>
                    </a:solidFill>
                    <a:latin typeface="Arial" panose="020B0604020202020204" pitchFamily="34" charset="0"/>
                    <a:ea typeface="+mn-ea"/>
                    <a:cs typeface="Arial" panose="020B0604020202020204" pitchFamily="34" charset="0"/>
                  </a:rPr>
                  <a:t>Note that these 'tox per fraction'-quotients themselves have no biological meaning; they are only to be used for comparison.</a:t>
                </a:r>
              </a:p>
            </xdr:txBody>
          </xdr:sp>
          <xdr:grpSp>
            <xdr:nvGrpSpPr>
              <xdr:cNvPr id="25" name="Group 24">
                <a:extLst>
                  <a:ext uri="{FF2B5EF4-FFF2-40B4-BE49-F238E27FC236}">
                    <a16:creationId xmlns:a16="http://schemas.microsoft.com/office/drawing/2014/main" id="{1642A032-096F-43D7-AD90-DBBE579BFF9C}"/>
                  </a:ext>
                </a:extLst>
              </xdr:cNvPr>
              <xdr:cNvGrpSpPr/>
            </xdr:nvGrpSpPr>
            <xdr:grpSpPr>
              <a:xfrm>
                <a:off x="12598129" y="2801500"/>
                <a:ext cx="4882552" cy="3159320"/>
                <a:chOff x="12605406" y="2810933"/>
                <a:chExt cx="4880776" cy="3175938"/>
              </a:xfrm>
            </xdr:grpSpPr>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7D6F5291-FA6D-468C-933C-7926A57F76AE}"/>
                        </a:ext>
                      </a:extLst>
                    </xdr:cNvPr>
                    <xdr:cNvSpPr txBox="1"/>
                  </xdr:nvSpPr>
                  <xdr:spPr>
                    <a:xfrm>
                      <a:off x="12605406" y="2810933"/>
                      <a:ext cx="4870575" cy="1502181"/>
                    </a:xfrm>
                    <a:prstGeom prst="rect">
                      <a:avLst/>
                    </a:prstGeom>
                    <a:solidFill>
                      <a:srgbClr val="F3F2E7"/>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left"/>
                          </m:oMathParaPr>
                          <m:oMath xmlns:m="http://schemas.openxmlformats.org/officeDocument/2006/math">
                            <m:sSub>
                              <m:sSubPr>
                                <m:ctrlPr>
                                  <a:rPr lang="en-GB" sz="1050" b="0" i="1" u="none" strike="noStrike" baseline="0" smtClean="0">
                                    <a:solidFill>
                                      <a:schemeClr val="dk1"/>
                                    </a:solidFill>
                                    <a:latin typeface="Cambria Math" panose="02040503050406030204" pitchFamily="18" charset="0"/>
                                    <a:ea typeface="+mn-ea"/>
                                    <a:cs typeface="+mn-cs"/>
                                  </a:rPr>
                                </m:ctrlPr>
                              </m:sSubPr>
                              <m:e>
                                <m:r>
                                  <m:rPr>
                                    <m:sty m:val="p"/>
                                  </m:rPr>
                                  <a:rPr lang="en-GB" sz="1050" b="0" i="1" u="none" strike="noStrike" baseline="0" smtClean="0">
                                    <a:solidFill>
                                      <a:schemeClr val="dk1"/>
                                    </a:solidFill>
                                    <a:latin typeface="Cambria Math" panose="02040503050406030204" pitchFamily="18" charset="0"/>
                                    <a:ea typeface="+mn-ea"/>
                                    <a:cs typeface="+mn-cs"/>
                                  </a:rPr>
                                  <m:t>LD</m:t>
                                </m:r>
                              </m:e>
                              <m:sub>
                                <m:r>
                                  <a:rPr lang="en-GB" sz="1050" b="0" i="0" u="none" strike="noStrike" baseline="0" smtClean="0">
                                    <a:solidFill>
                                      <a:schemeClr val="dk1"/>
                                    </a:solidFill>
                                    <a:latin typeface="Cambria Math" panose="02040503050406030204" pitchFamily="18" charset="0"/>
                                    <a:ea typeface="+mn-ea"/>
                                    <a:cs typeface="+mn-cs"/>
                                  </a:rPr>
                                  <m:t>50</m:t>
                                </m:r>
                              </m:sub>
                            </m:sSub>
                            <m:d>
                              <m:dPr>
                                <m:ctrlPr>
                                  <a:rPr lang="en-GB" sz="1050" b="0" i="1" u="none" strike="noStrike" baseline="0" smtClean="0">
                                    <a:solidFill>
                                      <a:schemeClr val="dk1"/>
                                    </a:solidFill>
                                    <a:latin typeface="Cambria Math" panose="02040503050406030204" pitchFamily="18" charset="0"/>
                                    <a:ea typeface="+mn-ea"/>
                                    <a:cs typeface="+mn-cs"/>
                                  </a:rPr>
                                </m:ctrlPr>
                              </m:dPr>
                              <m:e>
                                <m:r>
                                  <m:rPr>
                                    <m:sty m:val="p"/>
                                  </m:rPr>
                                  <a:rPr lang="en-GB" sz="1050" b="0" i="1" u="none" strike="noStrike" baseline="0" smtClean="0">
                                    <a:solidFill>
                                      <a:schemeClr val="dk1"/>
                                    </a:solidFill>
                                    <a:latin typeface="Cambria Math" panose="02040503050406030204" pitchFamily="18" charset="0"/>
                                    <a:ea typeface="+mn-ea"/>
                                    <a:cs typeface="+mn-cs"/>
                                  </a:rPr>
                                  <m:t>mix</m:t>
                                </m:r>
                              </m:e>
                            </m:d>
                            <m:r>
                              <a:rPr lang="en-GB" sz="1050" b="0" i="0" u="none" strike="noStrike" baseline="0" smtClean="0">
                                <a:solidFill>
                                  <a:schemeClr val="dk1"/>
                                </a:solidFill>
                                <a:latin typeface="Cambria Math" panose="02040503050406030204" pitchFamily="18" charset="0"/>
                                <a:ea typeface="+mn-ea"/>
                                <a:cs typeface="+mn-cs"/>
                              </a:rPr>
                              <m:t>=</m:t>
                            </m:r>
                            <m:sSup>
                              <m:sSupPr>
                                <m:ctrlPr>
                                  <a:rPr lang="en-GB" sz="1050" b="0" i="1" u="none" strike="noStrike" baseline="0" smtClean="0">
                                    <a:solidFill>
                                      <a:schemeClr val="dk1"/>
                                    </a:solidFill>
                                    <a:latin typeface="Cambria Math" panose="02040503050406030204" pitchFamily="18" charset="0"/>
                                    <a:ea typeface="+mn-ea"/>
                                    <a:cs typeface="+mn-cs"/>
                                  </a:rPr>
                                </m:ctrlPr>
                              </m:sSupPr>
                              <m:e>
                                <m:d>
                                  <m:dPr>
                                    <m:ctrlPr>
                                      <a:rPr lang="en-GB" sz="1050" b="0" i="1" u="none" strike="noStrike" baseline="0" smtClean="0">
                                        <a:solidFill>
                                          <a:schemeClr val="dk1"/>
                                        </a:solidFill>
                                        <a:latin typeface="Cambria Math" panose="02040503050406030204" pitchFamily="18" charset="0"/>
                                        <a:ea typeface="+mn-ea"/>
                                        <a:cs typeface="+mn-cs"/>
                                      </a:rPr>
                                    </m:ctrlPr>
                                  </m:dPr>
                                  <m:e>
                                    <m:nary>
                                      <m:naryPr>
                                        <m:chr m:val="∑"/>
                                        <m:supHide m:val="on"/>
                                        <m:ctrlPr>
                                          <a:rPr lang="en-GB" sz="1050" b="0" i="1" u="none" strike="noStrike" baseline="0" smtClean="0">
                                            <a:solidFill>
                                              <a:schemeClr val="dk1"/>
                                            </a:solidFill>
                                            <a:latin typeface="Cambria Math" panose="02040503050406030204" pitchFamily="18" charset="0"/>
                                            <a:ea typeface="+mn-ea"/>
                                            <a:cs typeface="+mn-cs"/>
                                          </a:rPr>
                                        </m:ctrlPr>
                                      </m:naryPr>
                                      <m:sub>
                                        <m:r>
                                          <m:rPr>
                                            <m:sty m:val="p"/>
                                          </m:rPr>
                                          <a:rPr lang="en-GB" sz="1050" b="0" i="1" u="none" strike="noStrike" baseline="0" smtClean="0">
                                            <a:solidFill>
                                              <a:schemeClr val="dk1"/>
                                            </a:solidFill>
                                            <a:latin typeface="Cambria Math" panose="02040503050406030204" pitchFamily="18" charset="0"/>
                                            <a:ea typeface="+mn-ea"/>
                                            <a:cs typeface="+mn-cs"/>
                                          </a:rPr>
                                          <m:t>i</m:t>
                                        </m:r>
                                      </m:sub>
                                      <m:sup/>
                                      <m:e>
                                        <m:f>
                                          <m:fPr>
                                            <m:ctrlPr>
                                              <a:rPr lang="en-GB" sz="1050" b="0" i="1" u="none" strike="noStrike" baseline="0" smtClean="0">
                                                <a:solidFill>
                                                  <a:schemeClr val="dk1"/>
                                                </a:solidFill>
                                                <a:latin typeface="Cambria Math" panose="02040503050406030204" pitchFamily="18" charset="0"/>
                                                <a:ea typeface="+mn-ea"/>
                                                <a:cs typeface="+mn-cs"/>
                                              </a:rPr>
                                            </m:ctrlPr>
                                          </m:fPr>
                                          <m:num>
                                            <m:sSub>
                                              <m:sSubPr>
                                                <m:ctrlPr>
                                                  <a:rPr lang="en-GB" sz="1050" b="0" i="1" u="none" strike="noStrike" baseline="0" smtClean="0">
                                                    <a:solidFill>
                                                      <a:schemeClr val="dk1"/>
                                                    </a:solidFill>
                                                    <a:latin typeface="Cambria Math" panose="02040503050406030204" pitchFamily="18" charset="0"/>
                                                    <a:ea typeface="+mn-ea"/>
                                                    <a:cs typeface="+mn-cs"/>
                                                  </a:rPr>
                                                </m:ctrlPr>
                                              </m:sSubPr>
                                              <m:e>
                                                <m:r>
                                                  <m:rPr>
                                                    <m:sty m:val="p"/>
                                                  </m:rPr>
                                                  <a:rPr lang="en-GB" sz="1050" b="0" i="1" u="none" strike="noStrike" baseline="0" smtClean="0">
                                                    <a:solidFill>
                                                      <a:schemeClr val="dk1"/>
                                                    </a:solidFill>
                                                    <a:latin typeface="Cambria Math" panose="02040503050406030204" pitchFamily="18" charset="0"/>
                                                    <a:ea typeface="+mn-ea"/>
                                                    <a:cs typeface="+mn-cs"/>
                                                  </a:rPr>
                                                  <m:t>X</m:t>
                                                </m:r>
                                              </m:e>
                                              <m:sub>
                                                <m:sSub>
                                                  <m:sSubPr>
                                                    <m:ctrlPr>
                                                      <a:rPr lang="en-GB" sz="1050" b="0" i="1" u="none" strike="noStrike" baseline="0" smtClean="0">
                                                        <a:solidFill>
                                                          <a:schemeClr val="dk1"/>
                                                        </a:solidFill>
                                                        <a:latin typeface="Cambria Math" panose="02040503050406030204" pitchFamily="18" charset="0"/>
                                                        <a:ea typeface="+mn-ea"/>
                                                        <a:cs typeface="+mn-cs"/>
                                                      </a:rPr>
                                                    </m:ctrlPr>
                                                  </m:sSubPr>
                                                  <m:e>
                                                    <m:r>
                                                      <a:rPr lang="en-GB" sz="1050" b="0" i="1" u="none" strike="noStrike" baseline="0" smtClean="0">
                                                        <a:solidFill>
                                                          <a:schemeClr val="dk1"/>
                                                        </a:solidFill>
                                                        <a:latin typeface="Cambria Math" panose="02040503050406030204" pitchFamily="18" charset="0"/>
                                                        <a:ea typeface="+mn-ea"/>
                                                        <a:cs typeface="+mn-cs"/>
                                                      </a:rPr>
                                                      <m:t>(</m:t>
                                                    </m:r>
                                                    <m:r>
                                                      <m:rPr>
                                                        <m:sty m:val="p"/>
                                                      </m:rPr>
                                                      <a:rPr lang="en-GB" sz="1050" b="0" i="1" u="none" strike="noStrike" baseline="0" smtClean="0">
                                                        <a:solidFill>
                                                          <a:schemeClr val="dk1"/>
                                                        </a:solidFill>
                                                        <a:latin typeface="Cambria Math" panose="02040503050406030204" pitchFamily="18" charset="0"/>
                                                        <a:ea typeface="+mn-ea"/>
                                                        <a:cs typeface="+mn-cs"/>
                                                      </a:rPr>
                                                      <m:t>a</m:t>
                                                    </m:r>
                                                    <m:r>
                                                      <a:rPr lang="en-GB" sz="1050" b="0" i="1" u="none" strike="noStrike" baseline="0" smtClean="0">
                                                        <a:solidFill>
                                                          <a:schemeClr val="dk1"/>
                                                        </a:solidFill>
                                                        <a:latin typeface="Cambria Math" panose="02040503050406030204" pitchFamily="18" charset="0"/>
                                                        <a:ea typeface="+mn-ea"/>
                                                        <a:cs typeface="+mn-cs"/>
                                                      </a:rPr>
                                                      <m:t>.</m:t>
                                                    </m:r>
                                                    <m:r>
                                                      <m:rPr>
                                                        <m:sty m:val="p"/>
                                                      </m:rPr>
                                                      <a:rPr lang="en-GB" sz="1050" b="0" i="1" u="none" strike="noStrike" baseline="0" smtClean="0">
                                                        <a:solidFill>
                                                          <a:schemeClr val="dk1"/>
                                                        </a:solidFill>
                                                        <a:latin typeface="Cambria Math" panose="02040503050406030204" pitchFamily="18" charset="0"/>
                                                        <a:ea typeface="+mn-ea"/>
                                                        <a:cs typeface="+mn-cs"/>
                                                      </a:rPr>
                                                      <m:t>s</m:t>
                                                    </m:r>
                                                    <m:r>
                                                      <a:rPr lang="en-GB" sz="1050" b="0" i="1" u="none" strike="noStrike" baseline="0" smtClean="0">
                                                        <a:solidFill>
                                                          <a:schemeClr val="dk1"/>
                                                        </a:solidFill>
                                                        <a:latin typeface="Cambria Math" panose="02040503050406030204" pitchFamily="18" charset="0"/>
                                                        <a:ea typeface="+mn-ea"/>
                                                        <a:cs typeface="+mn-cs"/>
                                                      </a:rPr>
                                                      <m:t>.</m:t>
                                                    </m:r>
                                                  </m:e>
                                                  <m:sub>
                                                    <m:r>
                                                      <m:rPr>
                                                        <m:sty m:val="p"/>
                                                      </m:rPr>
                                                      <a:rPr lang="en-GB" sz="1050" b="0" i="1" u="none" strike="noStrike" baseline="0" smtClean="0">
                                                        <a:solidFill>
                                                          <a:schemeClr val="dk1"/>
                                                        </a:solidFill>
                                                        <a:latin typeface="Cambria Math" panose="02040503050406030204" pitchFamily="18" charset="0"/>
                                                        <a:ea typeface="+mn-ea"/>
                                                        <a:cs typeface="+mn-cs"/>
                                                      </a:rPr>
                                                      <m:t>i</m:t>
                                                    </m:r>
                                                  </m:sub>
                                                </m:sSub>
                                                <m:r>
                                                  <a:rPr lang="en-GB" sz="1050" b="0" i="0" u="none" strike="noStrike" baseline="0" smtClean="0">
                                                    <a:solidFill>
                                                      <a:schemeClr val="dk1"/>
                                                    </a:solidFill>
                                                    <a:latin typeface="Cambria Math" panose="02040503050406030204" pitchFamily="18" charset="0"/>
                                                    <a:ea typeface="+mn-ea"/>
                                                    <a:cs typeface="+mn-cs"/>
                                                  </a:rPr>
                                                  <m:t>)</m:t>
                                                </m:r>
                                              </m:sub>
                                            </m:sSub>
                                          </m:num>
                                          <m:den>
                                            <m:sSub>
                                              <m:sSubPr>
                                                <m:ctrlPr>
                                                  <a:rPr lang="en-GB" sz="1050" b="0" i="1" baseline="0">
                                                    <a:solidFill>
                                                      <a:schemeClr val="dk1"/>
                                                    </a:solidFill>
                                                    <a:effectLst/>
                                                    <a:latin typeface="Cambria Math" panose="02040503050406030204" pitchFamily="18" charset="0"/>
                                                    <a:ea typeface="+mn-ea"/>
                                                    <a:cs typeface="+mn-cs"/>
                                                  </a:rPr>
                                                </m:ctrlPr>
                                              </m:sSubPr>
                                              <m:e>
                                                <m:r>
                                                  <m:rPr>
                                                    <m:sty m:val="p"/>
                                                  </m:rPr>
                                                  <a:rPr lang="en-GB" sz="1050" b="0" i="1" baseline="0">
                                                    <a:solidFill>
                                                      <a:schemeClr val="dk1"/>
                                                    </a:solidFill>
                                                    <a:effectLst/>
                                                    <a:latin typeface="Cambria Math" panose="02040503050406030204" pitchFamily="18" charset="0"/>
                                                    <a:ea typeface="+mn-ea"/>
                                                    <a:cs typeface="+mn-cs"/>
                                                  </a:rPr>
                                                  <m:t>LD</m:t>
                                                </m:r>
                                              </m:e>
                                              <m:sub>
                                                <m:r>
                                                  <a:rPr lang="en-GB" sz="1050" b="0" i="0" baseline="0">
                                                    <a:solidFill>
                                                      <a:schemeClr val="dk1"/>
                                                    </a:solidFill>
                                                    <a:effectLst/>
                                                    <a:latin typeface="Cambria Math" panose="02040503050406030204" pitchFamily="18" charset="0"/>
                                                    <a:ea typeface="+mn-ea"/>
                                                    <a:cs typeface="+mn-cs"/>
                                                  </a:rPr>
                                                  <m:t>50</m:t>
                                                </m:r>
                                                <m:sSub>
                                                  <m:sSubPr>
                                                    <m:ctrlPr>
                                                      <a:rPr lang="en-GB" sz="1050" b="0" i="1" baseline="0">
                                                        <a:solidFill>
                                                          <a:schemeClr val="dk1"/>
                                                        </a:solidFill>
                                                        <a:effectLst/>
                                                        <a:latin typeface="Cambria Math" panose="02040503050406030204" pitchFamily="18" charset="0"/>
                                                        <a:ea typeface="+mn-ea"/>
                                                        <a:cs typeface="+mn-cs"/>
                                                      </a:rPr>
                                                    </m:ctrlPr>
                                                  </m:sSubPr>
                                                  <m:e>
                                                    <m:r>
                                                      <a:rPr lang="en-GB" sz="1050" b="0" i="1" baseline="0">
                                                        <a:solidFill>
                                                          <a:schemeClr val="dk1"/>
                                                        </a:solidFill>
                                                        <a:effectLst/>
                                                        <a:latin typeface="Cambria Math" panose="02040503050406030204" pitchFamily="18" charset="0"/>
                                                        <a:ea typeface="+mn-ea"/>
                                                        <a:cs typeface="+mn-cs"/>
                                                      </a:rPr>
                                                      <m:t>(</m:t>
                                                    </m:r>
                                                    <m:r>
                                                      <m:rPr>
                                                        <m:sty m:val="p"/>
                                                      </m:rPr>
                                                      <a:rPr lang="en-GB" sz="1050" b="0" i="1" baseline="0">
                                                        <a:solidFill>
                                                          <a:schemeClr val="dk1"/>
                                                        </a:solidFill>
                                                        <a:effectLst/>
                                                        <a:latin typeface="Cambria Math" panose="02040503050406030204" pitchFamily="18" charset="0"/>
                                                        <a:ea typeface="+mn-ea"/>
                                                        <a:cs typeface="+mn-cs"/>
                                                      </a:rPr>
                                                      <m:t>a</m:t>
                                                    </m:r>
                                                    <m:r>
                                                      <a:rPr lang="en-GB" sz="1050" b="0" i="1" baseline="0">
                                                        <a:solidFill>
                                                          <a:schemeClr val="dk1"/>
                                                        </a:solidFill>
                                                        <a:effectLst/>
                                                        <a:latin typeface="Cambria Math" panose="02040503050406030204" pitchFamily="18" charset="0"/>
                                                        <a:ea typeface="+mn-ea"/>
                                                        <a:cs typeface="+mn-cs"/>
                                                      </a:rPr>
                                                      <m:t>.</m:t>
                                                    </m:r>
                                                    <m:r>
                                                      <m:rPr>
                                                        <m:sty m:val="p"/>
                                                      </m:rPr>
                                                      <a:rPr lang="en-GB" sz="1050" b="0" i="1" baseline="0">
                                                        <a:solidFill>
                                                          <a:schemeClr val="dk1"/>
                                                        </a:solidFill>
                                                        <a:effectLst/>
                                                        <a:latin typeface="Cambria Math" panose="02040503050406030204" pitchFamily="18" charset="0"/>
                                                        <a:ea typeface="+mn-ea"/>
                                                        <a:cs typeface="+mn-cs"/>
                                                      </a:rPr>
                                                      <m:t>s</m:t>
                                                    </m:r>
                                                    <m:r>
                                                      <a:rPr lang="en-GB" sz="1050" b="0" i="1" baseline="0">
                                                        <a:solidFill>
                                                          <a:schemeClr val="dk1"/>
                                                        </a:solidFill>
                                                        <a:effectLst/>
                                                        <a:latin typeface="Cambria Math" panose="02040503050406030204" pitchFamily="18" charset="0"/>
                                                        <a:ea typeface="+mn-ea"/>
                                                        <a:cs typeface="+mn-cs"/>
                                                      </a:rPr>
                                                      <m:t>.</m:t>
                                                    </m:r>
                                                  </m:e>
                                                  <m:sub>
                                                    <m:r>
                                                      <m:rPr>
                                                        <m:sty m:val="p"/>
                                                      </m:rPr>
                                                      <a:rPr lang="en-GB" sz="1050" b="0" i="1" baseline="0">
                                                        <a:solidFill>
                                                          <a:schemeClr val="dk1"/>
                                                        </a:solidFill>
                                                        <a:effectLst/>
                                                        <a:latin typeface="Cambria Math" panose="02040503050406030204" pitchFamily="18" charset="0"/>
                                                        <a:ea typeface="+mn-ea"/>
                                                        <a:cs typeface="+mn-cs"/>
                                                      </a:rPr>
                                                      <m:t>i</m:t>
                                                    </m:r>
                                                  </m:sub>
                                                </m:sSub>
                                                <m:r>
                                                  <a:rPr lang="en-GB" sz="1050" b="0" i="0" baseline="0">
                                                    <a:solidFill>
                                                      <a:schemeClr val="dk1"/>
                                                    </a:solidFill>
                                                    <a:effectLst/>
                                                    <a:latin typeface="Cambria Math" panose="02040503050406030204" pitchFamily="18" charset="0"/>
                                                    <a:ea typeface="+mn-ea"/>
                                                    <a:cs typeface="+mn-cs"/>
                                                  </a:rPr>
                                                  <m:t>)</m:t>
                                                </m:r>
                                              </m:sub>
                                            </m:sSub>
                                          </m:den>
                                        </m:f>
                                      </m:e>
                                    </m:nary>
                                  </m:e>
                                </m:d>
                              </m:e>
                              <m:sup>
                                <m:r>
                                  <a:rPr lang="en-GB" sz="1050" b="0" i="0" u="none" strike="noStrike" baseline="0" smtClean="0">
                                    <a:solidFill>
                                      <a:schemeClr val="dk1"/>
                                    </a:solidFill>
                                    <a:latin typeface="Cambria Math" panose="02040503050406030204" pitchFamily="18" charset="0"/>
                                    <a:ea typeface="+mn-ea"/>
                                    <a:cs typeface="+mn-cs"/>
                                  </a:rPr>
                                  <m:t>−1</m:t>
                                </m:r>
                              </m:sup>
                            </m:sSup>
                          </m:oMath>
                        </m:oMathPara>
                      </a14:m>
                      <a:endParaRPr lang="en-GB" sz="1050" b="0" i="0" u="none" strike="noStrike" baseline="0">
                        <a:solidFill>
                          <a:schemeClr val="dk1"/>
                        </a:solidFill>
                        <a:latin typeface="Arial" panose="020B0604020202020204" pitchFamily="34" charset="0"/>
                        <a:ea typeface="+mn-ea"/>
                        <a:cs typeface="Arial" panose="020B0604020202020204" pitchFamily="34" charset="0"/>
                      </a:endParaRPr>
                    </a:p>
                    <a:p>
                      <a:endParaRPr lang="en-GB" sz="1000" b="0" i="0" u="none" strike="noStrike" baseline="0">
                        <a:solidFill>
                          <a:schemeClr val="dk1"/>
                        </a:solidFill>
                        <a:latin typeface="Arial" panose="020B0604020202020204" pitchFamily="34" charset="0"/>
                        <a:ea typeface="+mn-ea"/>
                        <a:cs typeface="Arial" panose="020B0604020202020204" pitchFamily="34" charset="0"/>
                      </a:endParaRPr>
                    </a:p>
                    <a:p>
                      <a:r>
                        <a:rPr lang="en-GB" sz="1050" b="0" i="0" u="none" strike="noStrike" baseline="0">
                          <a:solidFill>
                            <a:schemeClr val="dk1"/>
                          </a:solidFill>
                          <a:latin typeface="Arial" panose="020B0604020202020204" pitchFamily="34" charset="0"/>
                          <a:ea typeface="+mn-ea"/>
                          <a:cs typeface="Arial" panose="020B0604020202020204" pitchFamily="34" charset="0"/>
                        </a:rPr>
                        <a:t>With:</a:t>
                      </a:r>
                    </a:p>
                    <a:p>
                      <a:r>
                        <a:rPr lang="en-GB" sz="1050" b="0" i="0" u="none" strike="noStrike" baseline="0">
                          <a:solidFill>
                            <a:schemeClr val="dk1"/>
                          </a:solidFill>
                          <a:latin typeface="Arial" panose="020B0604020202020204" pitchFamily="34" charset="0"/>
                          <a:ea typeface="+mn-ea"/>
                          <a:cs typeface="Arial" panose="020B0604020202020204" pitchFamily="34" charset="0"/>
                        </a:rPr>
                        <a:t>X(a.s.i)       = fraction of active substance [i] in the mixture. Sum of X</a:t>
                      </a:r>
                      <a:r>
                        <a:rPr lang="en-GB" sz="1050" b="0" i="0" u="none" strike="noStrike" baseline="-25000">
                          <a:solidFill>
                            <a:schemeClr val="dk1"/>
                          </a:solidFill>
                          <a:latin typeface="Arial" panose="020B0604020202020204" pitchFamily="34" charset="0"/>
                          <a:ea typeface="+mn-ea"/>
                          <a:cs typeface="Arial" panose="020B0604020202020204" pitchFamily="34" charset="0"/>
                        </a:rPr>
                        <a:t>(a.s.i)</a:t>
                      </a:r>
                      <a:r>
                        <a:rPr lang="en-GB" sz="1050" b="0" i="0" u="none" strike="noStrike" baseline="0">
                          <a:solidFill>
                            <a:schemeClr val="dk1"/>
                          </a:solidFill>
                          <a:latin typeface="Arial" panose="020B0604020202020204" pitchFamily="34" charset="0"/>
                          <a:ea typeface="+mn-ea"/>
                          <a:cs typeface="Arial" panose="020B0604020202020204" pitchFamily="34" charset="0"/>
                        </a:rPr>
                        <a:t> = 1.</a:t>
                      </a:r>
                    </a:p>
                    <a:p>
                      <a:r>
                        <a:rPr lang="en-GB" sz="1050" b="0" i="0" u="none" strike="noStrike" baseline="0">
                          <a:solidFill>
                            <a:schemeClr val="dk1"/>
                          </a:solidFill>
                          <a:latin typeface="Arial" panose="020B0604020202020204" pitchFamily="34" charset="0"/>
                          <a:ea typeface="+mn-ea"/>
                          <a:cs typeface="Arial" panose="020B0604020202020204" pitchFamily="34" charset="0"/>
                        </a:rPr>
                        <a:t>LD</a:t>
                      </a:r>
                      <a:r>
                        <a:rPr lang="en-GB" sz="1050" b="0" i="0" u="none" strike="noStrike" baseline="-25000">
                          <a:solidFill>
                            <a:schemeClr val="dk1"/>
                          </a:solidFill>
                          <a:latin typeface="Arial" panose="020B0604020202020204" pitchFamily="34" charset="0"/>
                          <a:ea typeface="+mn-ea"/>
                          <a:cs typeface="Arial" panose="020B0604020202020204" pitchFamily="34" charset="0"/>
                        </a:rPr>
                        <a:t>50</a:t>
                      </a:r>
                      <a:r>
                        <a:rPr lang="en-GB" sz="1050" b="0" i="0" u="none" strike="noStrike" baseline="0">
                          <a:solidFill>
                            <a:schemeClr val="dk1"/>
                          </a:solidFill>
                          <a:latin typeface="Arial" panose="020B0604020202020204" pitchFamily="34" charset="0"/>
                          <a:ea typeface="+mn-ea"/>
                          <a:cs typeface="Arial" panose="020B0604020202020204" pitchFamily="34" charset="0"/>
                        </a:rPr>
                        <a:t>(a.s.</a:t>
                      </a:r>
                      <a:r>
                        <a:rPr lang="en-GB" sz="1050" b="0" i="0" u="none" strike="noStrike" baseline="-25000">
                          <a:solidFill>
                            <a:schemeClr val="dk1"/>
                          </a:solidFill>
                          <a:latin typeface="Arial" panose="020B0604020202020204" pitchFamily="34" charset="0"/>
                          <a:ea typeface="+mn-ea"/>
                          <a:cs typeface="Arial" panose="020B0604020202020204" pitchFamily="34" charset="0"/>
                        </a:rPr>
                        <a:t>i</a:t>
                      </a:r>
                      <a:r>
                        <a:rPr lang="en-GB" sz="1050" b="0" i="0" u="none" strike="noStrike" baseline="0">
                          <a:solidFill>
                            <a:schemeClr val="dk1"/>
                          </a:solidFill>
                          <a:latin typeface="Arial" panose="020B0604020202020204" pitchFamily="34" charset="0"/>
                          <a:ea typeface="+mn-ea"/>
                          <a:cs typeface="Arial" panose="020B0604020202020204" pitchFamily="34" charset="0"/>
                        </a:rPr>
                        <a:t>)  = acute toxicity value for active substance [i]</a:t>
                      </a:r>
                    </a:p>
                  </xdr:txBody>
                </xdr:sp>
              </mc:Choice>
              <mc:Fallback xmlns="">
                <xdr:sp macro="" textlink="">
                  <xdr:nvSpPr>
                    <xdr:cNvPr id="26" name="TextBox 25">
                      <a:extLst>
                        <a:ext uri="{FF2B5EF4-FFF2-40B4-BE49-F238E27FC236}">
                          <a16:creationId xmlns:a16="http://schemas.microsoft.com/office/drawing/2014/main" id="{7D6F5291-FA6D-468C-933C-7926A57F76AE}"/>
                        </a:ext>
                      </a:extLst>
                    </xdr:cNvPr>
                    <xdr:cNvSpPr txBox="1"/>
                  </xdr:nvSpPr>
                  <xdr:spPr>
                    <a:xfrm>
                      <a:off x="12605406" y="2810933"/>
                      <a:ext cx="4870575" cy="1502181"/>
                    </a:xfrm>
                    <a:prstGeom prst="rect">
                      <a:avLst/>
                    </a:prstGeom>
                    <a:solidFill>
                      <a:srgbClr val="F3F2E7"/>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en-GB" sz="1050" b="0" i="0" u="none" strike="noStrike" baseline="0">
                          <a:solidFill>
                            <a:schemeClr val="dk1"/>
                          </a:solidFill>
                          <a:latin typeface="Cambria Math" panose="02040503050406030204" pitchFamily="18" charset="0"/>
                          <a:ea typeface="+mn-ea"/>
                          <a:cs typeface="+mn-cs"/>
                        </a:rPr>
                        <a:t>LD_50 (mix)=(∑_i</a:t>
                      </a:r>
                      <a:r>
                        <a:rPr lang="en-GB" sz="1050" b="0" i="0" u="none" strike="noStrike" baseline="0">
                          <a:solidFill>
                            <a:schemeClr val="dk1"/>
                          </a:solidFill>
                          <a:effectLst/>
                          <a:latin typeface="Cambria Math" panose="02040503050406030204" pitchFamily="18" charset="0"/>
                          <a:ea typeface="+mn-ea"/>
                          <a:cs typeface="+mn-cs"/>
                        </a:rPr>
                        <a:t>▒</a:t>
                      </a:r>
                      <a:r>
                        <a:rPr lang="en-GB" sz="1050" b="0" i="0" u="none" strike="noStrike" baseline="0">
                          <a:solidFill>
                            <a:schemeClr val="dk1"/>
                          </a:solidFill>
                          <a:latin typeface="Cambria Math" panose="02040503050406030204" pitchFamily="18" charset="0"/>
                          <a:ea typeface="+mn-ea"/>
                          <a:cs typeface="+mn-cs"/>
                        </a:rPr>
                        <a:t>X_(〖(a.s.〗_i))/</a:t>
                      </a:r>
                      <a:r>
                        <a:rPr lang="en-GB" sz="1050" b="0" i="0" baseline="0">
                          <a:solidFill>
                            <a:schemeClr val="dk1"/>
                          </a:solidFill>
                          <a:effectLst/>
                          <a:latin typeface="Cambria Math" panose="02040503050406030204" pitchFamily="18" charset="0"/>
                          <a:ea typeface="+mn-ea"/>
                          <a:cs typeface="+mn-cs"/>
                        </a:rPr>
                        <a:t>LD_(50〖(a.s.〗_i)) )</a:t>
                      </a:r>
                      <a:r>
                        <a:rPr lang="en-GB" sz="1050" b="0" i="0" u="none" strike="noStrike" baseline="0">
                          <a:solidFill>
                            <a:schemeClr val="dk1"/>
                          </a:solidFill>
                          <a:effectLst/>
                          <a:latin typeface="Cambria Math" panose="02040503050406030204" pitchFamily="18" charset="0"/>
                          <a:ea typeface="+mn-ea"/>
                          <a:cs typeface="+mn-cs"/>
                        </a:rPr>
                        <a:t>^(</a:t>
                      </a:r>
                      <a:r>
                        <a:rPr lang="en-GB" sz="1050" b="0" i="0" u="none" strike="noStrike" baseline="0">
                          <a:solidFill>
                            <a:schemeClr val="dk1"/>
                          </a:solidFill>
                          <a:latin typeface="Cambria Math" panose="02040503050406030204" pitchFamily="18" charset="0"/>
                          <a:ea typeface="+mn-ea"/>
                          <a:cs typeface="+mn-cs"/>
                        </a:rPr>
                        <a:t>−1)</a:t>
                      </a:r>
                      <a:endParaRPr lang="en-GB" sz="1050" b="0" i="0" u="none" strike="noStrike" baseline="0">
                        <a:solidFill>
                          <a:schemeClr val="dk1"/>
                        </a:solidFill>
                        <a:latin typeface="Arial" panose="020B0604020202020204" pitchFamily="34" charset="0"/>
                        <a:ea typeface="+mn-ea"/>
                        <a:cs typeface="Arial" panose="020B0604020202020204" pitchFamily="34" charset="0"/>
                      </a:endParaRPr>
                    </a:p>
                    <a:p>
                      <a:endParaRPr lang="en-GB" sz="1000" b="0" i="0" u="none" strike="noStrike" baseline="0">
                        <a:solidFill>
                          <a:schemeClr val="dk1"/>
                        </a:solidFill>
                        <a:latin typeface="Arial" panose="020B0604020202020204" pitchFamily="34" charset="0"/>
                        <a:ea typeface="+mn-ea"/>
                        <a:cs typeface="Arial" panose="020B0604020202020204" pitchFamily="34" charset="0"/>
                      </a:endParaRPr>
                    </a:p>
                    <a:p>
                      <a:r>
                        <a:rPr lang="en-GB" sz="1050" b="0" i="0" u="none" strike="noStrike" baseline="0">
                          <a:solidFill>
                            <a:schemeClr val="dk1"/>
                          </a:solidFill>
                          <a:latin typeface="Arial" panose="020B0604020202020204" pitchFamily="34" charset="0"/>
                          <a:ea typeface="+mn-ea"/>
                          <a:cs typeface="Arial" panose="020B0604020202020204" pitchFamily="34" charset="0"/>
                        </a:rPr>
                        <a:t>With:</a:t>
                      </a:r>
                    </a:p>
                    <a:p>
                      <a:r>
                        <a:rPr lang="en-GB" sz="1050" b="0" i="0" u="none" strike="noStrike" baseline="0">
                          <a:solidFill>
                            <a:schemeClr val="dk1"/>
                          </a:solidFill>
                          <a:latin typeface="Arial" panose="020B0604020202020204" pitchFamily="34" charset="0"/>
                          <a:ea typeface="+mn-ea"/>
                          <a:cs typeface="Arial" panose="020B0604020202020204" pitchFamily="34" charset="0"/>
                        </a:rPr>
                        <a:t>X(a.s.i)       = fraction of active substance [i] in the mixture. Sum of X</a:t>
                      </a:r>
                      <a:r>
                        <a:rPr lang="en-GB" sz="1050" b="0" i="0" u="none" strike="noStrike" baseline="-25000">
                          <a:solidFill>
                            <a:schemeClr val="dk1"/>
                          </a:solidFill>
                          <a:latin typeface="Arial" panose="020B0604020202020204" pitchFamily="34" charset="0"/>
                          <a:ea typeface="+mn-ea"/>
                          <a:cs typeface="Arial" panose="020B0604020202020204" pitchFamily="34" charset="0"/>
                        </a:rPr>
                        <a:t>(a.s.i)</a:t>
                      </a:r>
                      <a:r>
                        <a:rPr lang="en-GB" sz="1050" b="0" i="0" u="none" strike="noStrike" baseline="0">
                          <a:solidFill>
                            <a:schemeClr val="dk1"/>
                          </a:solidFill>
                          <a:latin typeface="Arial" panose="020B0604020202020204" pitchFamily="34" charset="0"/>
                          <a:ea typeface="+mn-ea"/>
                          <a:cs typeface="Arial" panose="020B0604020202020204" pitchFamily="34" charset="0"/>
                        </a:rPr>
                        <a:t> = 1.</a:t>
                      </a:r>
                    </a:p>
                    <a:p>
                      <a:r>
                        <a:rPr lang="en-GB" sz="1050" b="0" i="0" u="none" strike="noStrike" baseline="0">
                          <a:solidFill>
                            <a:schemeClr val="dk1"/>
                          </a:solidFill>
                          <a:latin typeface="Arial" panose="020B0604020202020204" pitchFamily="34" charset="0"/>
                          <a:ea typeface="+mn-ea"/>
                          <a:cs typeface="Arial" panose="020B0604020202020204" pitchFamily="34" charset="0"/>
                        </a:rPr>
                        <a:t>LD</a:t>
                      </a:r>
                      <a:r>
                        <a:rPr lang="en-GB" sz="1050" b="0" i="0" u="none" strike="noStrike" baseline="-25000">
                          <a:solidFill>
                            <a:schemeClr val="dk1"/>
                          </a:solidFill>
                          <a:latin typeface="Arial" panose="020B0604020202020204" pitchFamily="34" charset="0"/>
                          <a:ea typeface="+mn-ea"/>
                          <a:cs typeface="Arial" panose="020B0604020202020204" pitchFamily="34" charset="0"/>
                        </a:rPr>
                        <a:t>50</a:t>
                      </a:r>
                      <a:r>
                        <a:rPr lang="en-GB" sz="1050" b="0" i="0" u="none" strike="noStrike" baseline="0">
                          <a:solidFill>
                            <a:schemeClr val="dk1"/>
                          </a:solidFill>
                          <a:latin typeface="Arial" panose="020B0604020202020204" pitchFamily="34" charset="0"/>
                          <a:ea typeface="+mn-ea"/>
                          <a:cs typeface="Arial" panose="020B0604020202020204" pitchFamily="34" charset="0"/>
                        </a:rPr>
                        <a:t>(a.s.</a:t>
                      </a:r>
                      <a:r>
                        <a:rPr lang="en-GB" sz="1050" b="0" i="0" u="none" strike="noStrike" baseline="-25000">
                          <a:solidFill>
                            <a:schemeClr val="dk1"/>
                          </a:solidFill>
                          <a:latin typeface="Arial" panose="020B0604020202020204" pitchFamily="34" charset="0"/>
                          <a:ea typeface="+mn-ea"/>
                          <a:cs typeface="Arial" panose="020B0604020202020204" pitchFamily="34" charset="0"/>
                        </a:rPr>
                        <a:t>i</a:t>
                      </a:r>
                      <a:r>
                        <a:rPr lang="en-GB" sz="1050" b="0" i="0" u="none" strike="noStrike" baseline="0">
                          <a:solidFill>
                            <a:schemeClr val="dk1"/>
                          </a:solidFill>
                          <a:latin typeface="Arial" panose="020B0604020202020204" pitchFamily="34" charset="0"/>
                          <a:ea typeface="+mn-ea"/>
                          <a:cs typeface="Arial" panose="020B0604020202020204" pitchFamily="34" charset="0"/>
                        </a:rPr>
                        <a:t>)  = acute toxicity value for active substance [i]</a:t>
                      </a:r>
                    </a:p>
                  </xdr:txBody>
                </xdr:sp>
              </mc:Fallback>
            </mc:AlternateContent>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4245DFD7-1C41-4796-A480-9DB7E87E2648}"/>
                        </a:ext>
                      </a:extLst>
                    </xdr:cNvPr>
                    <xdr:cNvSpPr txBox="1"/>
                  </xdr:nvSpPr>
                  <xdr:spPr>
                    <a:xfrm>
                      <a:off x="12615607" y="4397348"/>
                      <a:ext cx="4870575" cy="1589523"/>
                    </a:xfrm>
                    <a:prstGeom prst="rect">
                      <a:avLst/>
                    </a:prstGeom>
                    <a:solidFill>
                      <a:srgbClr val="F3F2E7"/>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left"/>
                          </m:oMathParaPr>
                          <m:oMath xmlns:m="http://schemas.openxmlformats.org/officeDocument/2006/math">
                            <m:r>
                              <m:rPr>
                                <m:sty m:val="p"/>
                              </m:rPr>
                              <a:rPr lang="fi-FI" sz="1200" b="0" i="0" u="none" strike="noStrike" baseline="0" smtClean="0">
                                <a:solidFill>
                                  <a:schemeClr val="dk1"/>
                                </a:solidFill>
                                <a:latin typeface="Cambria Math" panose="02040503050406030204" pitchFamily="18" charset="0"/>
                                <a:ea typeface="+mn-ea"/>
                                <a:cs typeface="+mn-cs"/>
                              </a:rPr>
                              <m:t>tox</m:t>
                            </m:r>
                            <m:r>
                              <a:rPr lang="fi-FI" sz="1200" b="0" i="0" u="none" strike="noStrike" baseline="0" smtClean="0">
                                <a:solidFill>
                                  <a:schemeClr val="dk1"/>
                                </a:solidFill>
                                <a:latin typeface="Cambria Math" panose="02040503050406030204" pitchFamily="18" charset="0"/>
                                <a:ea typeface="+mn-ea"/>
                                <a:cs typeface="+mn-cs"/>
                              </a:rPr>
                              <m:t> </m:t>
                            </m:r>
                            <m:r>
                              <m:rPr>
                                <m:sty m:val="p"/>
                              </m:rPr>
                              <a:rPr lang="fi-FI" sz="1200" b="0" i="0" u="none" strike="noStrike" baseline="0" smtClean="0">
                                <a:solidFill>
                                  <a:schemeClr val="dk1"/>
                                </a:solidFill>
                                <a:latin typeface="Cambria Math" panose="02040503050406030204" pitchFamily="18" charset="0"/>
                                <a:ea typeface="+mn-ea"/>
                                <a:cs typeface="+mn-cs"/>
                              </a:rPr>
                              <m:t>per</m:t>
                            </m:r>
                            <m:r>
                              <a:rPr lang="fi-FI" sz="1200" b="0" i="0" u="none" strike="noStrike" baseline="0" smtClean="0">
                                <a:solidFill>
                                  <a:schemeClr val="dk1"/>
                                </a:solidFill>
                                <a:latin typeface="Cambria Math" panose="02040503050406030204" pitchFamily="18" charset="0"/>
                                <a:ea typeface="+mn-ea"/>
                                <a:cs typeface="+mn-cs"/>
                              </a:rPr>
                              <m:t> </m:t>
                            </m:r>
                            <m:r>
                              <m:rPr>
                                <m:sty m:val="p"/>
                              </m:rPr>
                              <a:rPr lang="fi-FI" sz="1200" b="0" i="0" u="none" strike="noStrike" baseline="0" smtClean="0">
                                <a:solidFill>
                                  <a:schemeClr val="dk1"/>
                                </a:solidFill>
                                <a:latin typeface="Cambria Math" panose="02040503050406030204" pitchFamily="18" charset="0"/>
                                <a:ea typeface="+mn-ea"/>
                                <a:cs typeface="+mn-cs"/>
                              </a:rPr>
                              <m:t>fraction</m:t>
                            </m:r>
                            <m:r>
                              <a:rPr lang="fi-FI" sz="1200" b="0" i="0" u="none" strike="noStrike" baseline="0" smtClean="0">
                                <a:solidFill>
                                  <a:schemeClr val="dk1"/>
                                </a:solidFill>
                                <a:latin typeface="Cambria Math" panose="02040503050406030204" pitchFamily="18" charset="0"/>
                                <a:ea typeface="+mn-ea"/>
                                <a:cs typeface="+mn-cs"/>
                              </a:rPr>
                              <m:t> (</m:t>
                            </m:r>
                            <m:r>
                              <m:rPr>
                                <m:sty m:val="p"/>
                              </m:rPr>
                              <a:rPr lang="fi-FI" sz="1200" b="0" i="0" u="none" strike="noStrike" baseline="0" smtClean="0">
                                <a:solidFill>
                                  <a:schemeClr val="dk1"/>
                                </a:solidFill>
                                <a:latin typeface="Cambria Math" panose="02040503050406030204" pitchFamily="18" charset="0"/>
                                <a:ea typeface="+mn-ea"/>
                                <a:cs typeface="+mn-cs"/>
                              </a:rPr>
                              <m:t>a</m:t>
                            </m:r>
                            <m:r>
                              <a:rPr lang="fi-FI" sz="1200" b="0" i="0" u="none" strike="noStrike" baseline="0" smtClean="0">
                                <a:solidFill>
                                  <a:schemeClr val="dk1"/>
                                </a:solidFill>
                                <a:latin typeface="Cambria Math" panose="02040503050406030204" pitchFamily="18" charset="0"/>
                                <a:ea typeface="+mn-ea"/>
                                <a:cs typeface="+mn-cs"/>
                              </a:rPr>
                              <m:t>.</m:t>
                            </m:r>
                            <m:r>
                              <m:rPr>
                                <m:sty m:val="p"/>
                              </m:rPr>
                              <a:rPr lang="fi-FI" sz="1200" b="0" i="0" u="none" strike="noStrike" baseline="0" smtClean="0">
                                <a:solidFill>
                                  <a:schemeClr val="dk1"/>
                                </a:solidFill>
                                <a:latin typeface="Cambria Math" panose="02040503050406030204" pitchFamily="18" charset="0"/>
                                <a:ea typeface="+mn-ea"/>
                                <a:cs typeface="+mn-cs"/>
                              </a:rPr>
                              <m:t>s</m:t>
                            </m:r>
                            <m:r>
                              <a:rPr lang="fi-FI" sz="1200" b="0" i="0" u="none" strike="noStrike" baseline="0" smtClean="0">
                                <a:solidFill>
                                  <a:schemeClr val="dk1"/>
                                </a:solidFill>
                                <a:latin typeface="Cambria Math" panose="02040503050406030204" pitchFamily="18" charset="0"/>
                                <a:ea typeface="+mn-ea"/>
                                <a:cs typeface="+mn-cs"/>
                              </a:rPr>
                              <m:t>.)=</m:t>
                            </m:r>
                            <m:f>
                              <m:fPr>
                                <m:ctrlPr>
                                  <a:rPr lang="fi-FI" sz="1200" b="0" i="1" u="none" strike="noStrike" baseline="0" smtClean="0">
                                    <a:solidFill>
                                      <a:schemeClr val="dk1"/>
                                    </a:solidFill>
                                    <a:latin typeface="Cambria Math" panose="02040503050406030204" pitchFamily="18" charset="0"/>
                                    <a:ea typeface="+mn-ea"/>
                                    <a:cs typeface="+mn-cs"/>
                                  </a:rPr>
                                </m:ctrlPr>
                              </m:fPr>
                              <m:num>
                                <m:sSub>
                                  <m:sSubPr>
                                    <m:ctrlPr>
                                      <a:rPr lang="fi-FI" sz="1200" b="0" i="1" u="none" strike="noStrike" baseline="0" smtClean="0">
                                        <a:solidFill>
                                          <a:schemeClr val="dk1"/>
                                        </a:solidFill>
                                        <a:latin typeface="Cambria Math" panose="02040503050406030204" pitchFamily="18" charset="0"/>
                                        <a:ea typeface="+mn-ea"/>
                                        <a:cs typeface="+mn-cs"/>
                                      </a:rPr>
                                    </m:ctrlPr>
                                  </m:sSubPr>
                                  <m:e>
                                    <m:r>
                                      <m:rPr>
                                        <m:sty m:val="p"/>
                                      </m:rPr>
                                      <a:rPr lang="fi-FI" sz="1200" b="0" i="0" u="none" strike="noStrike" baseline="0" smtClean="0">
                                        <a:solidFill>
                                          <a:schemeClr val="dk1"/>
                                        </a:solidFill>
                                        <a:latin typeface="Cambria Math" panose="02040503050406030204" pitchFamily="18" charset="0"/>
                                        <a:ea typeface="+mn-ea"/>
                                        <a:cs typeface="+mn-cs"/>
                                      </a:rPr>
                                      <m:t>LD</m:t>
                                    </m:r>
                                  </m:e>
                                  <m:sub>
                                    <m:r>
                                      <a:rPr lang="fi-FI" sz="1200" b="0" i="0" u="none" strike="noStrike" baseline="0" smtClean="0">
                                        <a:solidFill>
                                          <a:schemeClr val="dk1"/>
                                        </a:solidFill>
                                        <a:latin typeface="Cambria Math" panose="02040503050406030204" pitchFamily="18" charset="0"/>
                                        <a:ea typeface="+mn-ea"/>
                                        <a:cs typeface="+mn-cs"/>
                                      </a:rPr>
                                      <m:t>50</m:t>
                                    </m:r>
                                    <m:sSub>
                                      <m:sSubPr>
                                        <m:ctrlPr>
                                          <a:rPr lang="fi-FI" sz="1200" b="0" i="1" u="none" strike="noStrike" baseline="0" smtClean="0">
                                            <a:solidFill>
                                              <a:schemeClr val="dk1"/>
                                            </a:solidFill>
                                            <a:latin typeface="Cambria Math" panose="02040503050406030204" pitchFamily="18" charset="0"/>
                                            <a:ea typeface="+mn-ea"/>
                                            <a:cs typeface="+mn-cs"/>
                                          </a:rPr>
                                        </m:ctrlPr>
                                      </m:sSubPr>
                                      <m:e>
                                        <m:r>
                                          <a:rPr lang="fi-FI" sz="1200" b="0" i="0" u="none" strike="noStrike" baseline="0" smtClean="0">
                                            <a:solidFill>
                                              <a:schemeClr val="dk1"/>
                                            </a:solidFill>
                                            <a:latin typeface="Cambria Math" panose="02040503050406030204" pitchFamily="18" charset="0"/>
                                            <a:ea typeface="+mn-ea"/>
                                            <a:cs typeface="+mn-cs"/>
                                          </a:rPr>
                                          <m:t>(</m:t>
                                        </m:r>
                                        <m:r>
                                          <m:rPr>
                                            <m:sty m:val="p"/>
                                          </m:rPr>
                                          <a:rPr lang="fi-FI" sz="1200" b="0" i="0" u="none" strike="noStrike" baseline="0" smtClean="0">
                                            <a:solidFill>
                                              <a:schemeClr val="dk1"/>
                                            </a:solidFill>
                                            <a:latin typeface="Cambria Math" panose="02040503050406030204" pitchFamily="18" charset="0"/>
                                            <a:ea typeface="+mn-ea"/>
                                            <a:cs typeface="+mn-cs"/>
                                          </a:rPr>
                                          <m:t>a</m:t>
                                        </m:r>
                                        <m:r>
                                          <a:rPr lang="fi-FI" sz="1200" b="0" i="0" u="none" strike="noStrike" baseline="0" smtClean="0">
                                            <a:solidFill>
                                              <a:schemeClr val="dk1"/>
                                            </a:solidFill>
                                            <a:latin typeface="Cambria Math" panose="02040503050406030204" pitchFamily="18" charset="0"/>
                                            <a:ea typeface="+mn-ea"/>
                                            <a:cs typeface="+mn-cs"/>
                                          </a:rPr>
                                          <m:t>.</m:t>
                                        </m:r>
                                        <m:r>
                                          <m:rPr>
                                            <m:sty m:val="p"/>
                                          </m:rPr>
                                          <a:rPr lang="fi-FI" sz="1200" b="0" i="0" u="none" strike="noStrike" baseline="0" smtClean="0">
                                            <a:solidFill>
                                              <a:schemeClr val="dk1"/>
                                            </a:solidFill>
                                            <a:latin typeface="Cambria Math" panose="02040503050406030204" pitchFamily="18" charset="0"/>
                                            <a:ea typeface="+mn-ea"/>
                                            <a:cs typeface="+mn-cs"/>
                                          </a:rPr>
                                          <m:t>s</m:t>
                                        </m:r>
                                        <m:r>
                                          <a:rPr lang="fi-FI" sz="1200" b="0" i="0" u="none" strike="noStrike" baseline="0" smtClean="0">
                                            <a:solidFill>
                                              <a:schemeClr val="dk1"/>
                                            </a:solidFill>
                                            <a:latin typeface="Cambria Math" panose="02040503050406030204" pitchFamily="18" charset="0"/>
                                            <a:ea typeface="+mn-ea"/>
                                            <a:cs typeface="+mn-cs"/>
                                          </a:rPr>
                                          <m:t>.</m:t>
                                        </m:r>
                                      </m:e>
                                      <m:sub>
                                        <m:r>
                                          <m:rPr>
                                            <m:sty m:val="p"/>
                                          </m:rPr>
                                          <a:rPr lang="fi-FI" sz="1200" b="0" i="0" u="none" strike="noStrike" baseline="0" smtClean="0">
                                            <a:solidFill>
                                              <a:schemeClr val="dk1"/>
                                            </a:solidFill>
                                            <a:latin typeface="Cambria Math" panose="02040503050406030204" pitchFamily="18" charset="0"/>
                                            <a:ea typeface="+mn-ea"/>
                                            <a:cs typeface="+mn-cs"/>
                                          </a:rPr>
                                          <m:t>i</m:t>
                                        </m:r>
                                      </m:sub>
                                    </m:sSub>
                                    <m:r>
                                      <a:rPr lang="fi-FI" sz="1200" b="0" i="0" u="none" strike="noStrike" baseline="0" smtClean="0">
                                        <a:solidFill>
                                          <a:schemeClr val="dk1"/>
                                        </a:solidFill>
                                        <a:latin typeface="Cambria Math" panose="02040503050406030204" pitchFamily="18" charset="0"/>
                                        <a:ea typeface="+mn-ea"/>
                                        <a:cs typeface="+mn-cs"/>
                                      </a:rPr>
                                      <m:t>)</m:t>
                                    </m:r>
                                  </m:sub>
                                </m:sSub>
                              </m:num>
                              <m:den>
                                <m:sSub>
                                  <m:sSubPr>
                                    <m:ctrlPr>
                                      <a:rPr lang="fi-FI" sz="1200" b="0" i="1" baseline="0">
                                        <a:solidFill>
                                          <a:schemeClr val="dk1"/>
                                        </a:solidFill>
                                        <a:effectLst/>
                                        <a:latin typeface="Cambria Math" panose="02040503050406030204" pitchFamily="18" charset="0"/>
                                        <a:ea typeface="+mn-ea"/>
                                        <a:cs typeface="+mn-cs"/>
                                      </a:rPr>
                                    </m:ctrlPr>
                                  </m:sSubPr>
                                  <m:e>
                                    <m:r>
                                      <m:rPr>
                                        <m:sty m:val="p"/>
                                      </m:rPr>
                                      <a:rPr lang="fi-FI" sz="1200" b="0" i="0" baseline="0">
                                        <a:solidFill>
                                          <a:schemeClr val="dk1"/>
                                        </a:solidFill>
                                        <a:effectLst/>
                                        <a:latin typeface="Cambria Math" panose="02040503050406030204" pitchFamily="18" charset="0"/>
                                        <a:ea typeface="+mn-ea"/>
                                        <a:cs typeface="+mn-cs"/>
                                      </a:rPr>
                                      <m:t>X</m:t>
                                    </m:r>
                                  </m:e>
                                  <m:sub>
                                    <m:sSub>
                                      <m:sSubPr>
                                        <m:ctrlPr>
                                          <a:rPr lang="fi-FI" sz="1200" b="0" i="1" baseline="0">
                                            <a:solidFill>
                                              <a:schemeClr val="dk1"/>
                                            </a:solidFill>
                                            <a:effectLst/>
                                            <a:latin typeface="Cambria Math" panose="02040503050406030204" pitchFamily="18" charset="0"/>
                                            <a:ea typeface="+mn-ea"/>
                                            <a:cs typeface="+mn-cs"/>
                                          </a:rPr>
                                        </m:ctrlPr>
                                      </m:sSubPr>
                                      <m:e>
                                        <m:r>
                                          <a:rPr lang="fi-FI" sz="1200" b="0" i="0" baseline="0">
                                            <a:solidFill>
                                              <a:schemeClr val="dk1"/>
                                            </a:solidFill>
                                            <a:effectLst/>
                                            <a:latin typeface="Cambria Math" panose="02040503050406030204" pitchFamily="18" charset="0"/>
                                            <a:ea typeface="+mn-ea"/>
                                            <a:cs typeface="+mn-cs"/>
                                          </a:rPr>
                                          <m:t>(</m:t>
                                        </m:r>
                                        <m:r>
                                          <m:rPr>
                                            <m:sty m:val="p"/>
                                          </m:rPr>
                                          <a:rPr lang="fi-FI" sz="1200" b="0" i="0" baseline="0">
                                            <a:solidFill>
                                              <a:schemeClr val="dk1"/>
                                            </a:solidFill>
                                            <a:effectLst/>
                                            <a:latin typeface="Cambria Math" panose="02040503050406030204" pitchFamily="18" charset="0"/>
                                            <a:ea typeface="+mn-ea"/>
                                            <a:cs typeface="+mn-cs"/>
                                          </a:rPr>
                                          <m:t>a</m:t>
                                        </m:r>
                                        <m:r>
                                          <a:rPr lang="fi-FI" sz="1200" b="0" i="0" baseline="0">
                                            <a:solidFill>
                                              <a:schemeClr val="dk1"/>
                                            </a:solidFill>
                                            <a:effectLst/>
                                            <a:latin typeface="Cambria Math" panose="02040503050406030204" pitchFamily="18" charset="0"/>
                                            <a:ea typeface="+mn-ea"/>
                                            <a:cs typeface="+mn-cs"/>
                                          </a:rPr>
                                          <m:t>.</m:t>
                                        </m:r>
                                        <m:r>
                                          <m:rPr>
                                            <m:sty m:val="p"/>
                                          </m:rPr>
                                          <a:rPr lang="fi-FI" sz="1200" b="0" i="0" baseline="0">
                                            <a:solidFill>
                                              <a:schemeClr val="dk1"/>
                                            </a:solidFill>
                                            <a:effectLst/>
                                            <a:latin typeface="Cambria Math" panose="02040503050406030204" pitchFamily="18" charset="0"/>
                                            <a:ea typeface="+mn-ea"/>
                                            <a:cs typeface="+mn-cs"/>
                                          </a:rPr>
                                          <m:t>s</m:t>
                                        </m:r>
                                        <m:r>
                                          <a:rPr lang="fi-FI" sz="1200" b="0" i="0" baseline="0">
                                            <a:solidFill>
                                              <a:schemeClr val="dk1"/>
                                            </a:solidFill>
                                            <a:effectLst/>
                                            <a:latin typeface="Cambria Math" panose="02040503050406030204" pitchFamily="18" charset="0"/>
                                            <a:ea typeface="+mn-ea"/>
                                            <a:cs typeface="+mn-cs"/>
                                          </a:rPr>
                                          <m:t>.</m:t>
                                        </m:r>
                                      </m:e>
                                      <m:sub>
                                        <m:r>
                                          <m:rPr>
                                            <m:sty m:val="p"/>
                                          </m:rPr>
                                          <a:rPr lang="fi-FI" sz="1200" b="0" i="0" baseline="0">
                                            <a:solidFill>
                                              <a:schemeClr val="dk1"/>
                                            </a:solidFill>
                                            <a:effectLst/>
                                            <a:latin typeface="Cambria Math" panose="02040503050406030204" pitchFamily="18" charset="0"/>
                                            <a:ea typeface="+mn-ea"/>
                                            <a:cs typeface="+mn-cs"/>
                                          </a:rPr>
                                          <m:t>i</m:t>
                                        </m:r>
                                      </m:sub>
                                    </m:sSub>
                                    <m:r>
                                      <a:rPr lang="fi-FI" sz="1200" b="0" i="0" baseline="0">
                                        <a:solidFill>
                                          <a:schemeClr val="dk1"/>
                                        </a:solidFill>
                                        <a:effectLst/>
                                        <a:latin typeface="Cambria Math" panose="02040503050406030204" pitchFamily="18" charset="0"/>
                                        <a:ea typeface="+mn-ea"/>
                                        <a:cs typeface="+mn-cs"/>
                                      </a:rPr>
                                      <m:t>)</m:t>
                                    </m:r>
                                  </m:sub>
                                </m:sSub>
                              </m:den>
                            </m:f>
                          </m:oMath>
                        </m:oMathPara>
                      </a14:m>
                      <a:endParaRPr lang="en-GB" sz="1200" b="0" i="0" u="none" strike="noStrike" baseline="0">
                        <a:solidFill>
                          <a:schemeClr val="dk1"/>
                        </a:solidFill>
                        <a:latin typeface="+mn-lt"/>
                        <a:ea typeface="+mn-ea"/>
                        <a:cs typeface="+mn-cs"/>
                      </a:endParaRPr>
                    </a:p>
                    <a:p>
                      <a:endParaRPr lang="en-GB" sz="12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sty m:val="p"/>
                              </m:rPr>
                              <a:rPr lang="fi-FI" sz="1200" b="0" i="0" baseline="0">
                                <a:solidFill>
                                  <a:schemeClr val="dk1"/>
                                </a:solidFill>
                                <a:effectLst/>
                                <a:latin typeface="Cambria Math" panose="02040503050406030204" pitchFamily="18" charset="0"/>
                                <a:ea typeface="+mn-ea"/>
                                <a:cs typeface="+mn-cs"/>
                              </a:rPr>
                              <m:t>tox</m:t>
                            </m:r>
                            <m:r>
                              <a:rPr lang="fi-FI" sz="1200" b="0" i="0" baseline="0">
                                <a:solidFill>
                                  <a:schemeClr val="dk1"/>
                                </a:solidFill>
                                <a:effectLst/>
                                <a:latin typeface="Cambria Math" panose="02040503050406030204" pitchFamily="18" charset="0"/>
                                <a:ea typeface="+mn-ea"/>
                                <a:cs typeface="+mn-cs"/>
                              </a:rPr>
                              <m:t> </m:t>
                            </m:r>
                            <m:r>
                              <m:rPr>
                                <m:sty m:val="p"/>
                              </m:rPr>
                              <a:rPr lang="fi-FI" sz="1200" b="0" i="0" baseline="0">
                                <a:solidFill>
                                  <a:schemeClr val="dk1"/>
                                </a:solidFill>
                                <a:effectLst/>
                                <a:latin typeface="Cambria Math" panose="02040503050406030204" pitchFamily="18" charset="0"/>
                                <a:ea typeface="+mn-ea"/>
                                <a:cs typeface="+mn-cs"/>
                              </a:rPr>
                              <m:t>per</m:t>
                            </m:r>
                            <m:r>
                              <a:rPr lang="fi-FI" sz="1200" b="0" i="0" baseline="0">
                                <a:solidFill>
                                  <a:schemeClr val="dk1"/>
                                </a:solidFill>
                                <a:effectLst/>
                                <a:latin typeface="Cambria Math" panose="02040503050406030204" pitchFamily="18" charset="0"/>
                                <a:ea typeface="+mn-ea"/>
                                <a:cs typeface="+mn-cs"/>
                              </a:rPr>
                              <m:t> </m:t>
                            </m:r>
                            <m:r>
                              <m:rPr>
                                <m:sty m:val="p"/>
                              </m:rPr>
                              <a:rPr lang="fi-FI" sz="1200" b="0" i="0" baseline="0">
                                <a:solidFill>
                                  <a:schemeClr val="dk1"/>
                                </a:solidFill>
                                <a:effectLst/>
                                <a:latin typeface="Cambria Math" panose="02040503050406030204" pitchFamily="18" charset="0"/>
                                <a:ea typeface="+mn-ea"/>
                                <a:cs typeface="+mn-cs"/>
                              </a:rPr>
                              <m:t>fraction</m:t>
                            </m:r>
                            <m:r>
                              <a:rPr lang="fi-FI" sz="1200" b="0" i="0" baseline="0">
                                <a:solidFill>
                                  <a:schemeClr val="dk1"/>
                                </a:solidFill>
                                <a:effectLst/>
                                <a:latin typeface="Cambria Math" panose="02040503050406030204" pitchFamily="18" charset="0"/>
                                <a:ea typeface="+mn-ea"/>
                                <a:cs typeface="+mn-cs"/>
                              </a:rPr>
                              <m:t> </m:t>
                            </m:r>
                            <m:d>
                              <m:dPr>
                                <m:ctrlPr>
                                  <a:rPr lang="fi-FI" sz="1200" b="0" i="1" baseline="0">
                                    <a:solidFill>
                                      <a:schemeClr val="dk1"/>
                                    </a:solidFill>
                                    <a:effectLst/>
                                    <a:latin typeface="Cambria Math" panose="02040503050406030204" pitchFamily="18" charset="0"/>
                                    <a:ea typeface="+mn-ea"/>
                                    <a:cs typeface="+mn-cs"/>
                                  </a:rPr>
                                </m:ctrlPr>
                              </m:dPr>
                              <m:e>
                                <m:r>
                                  <m:rPr>
                                    <m:sty m:val="p"/>
                                  </m:rPr>
                                  <a:rPr lang="fi-FI" sz="1200" b="0" i="0" baseline="0">
                                    <a:solidFill>
                                      <a:schemeClr val="dk1"/>
                                    </a:solidFill>
                                    <a:effectLst/>
                                    <a:latin typeface="Cambria Math" panose="02040503050406030204" pitchFamily="18" charset="0"/>
                                    <a:ea typeface="+mn-ea"/>
                                    <a:cs typeface="+mn-cs"/>
                                  </a:rPr>
                                  <m:t>mix</m:t>
                                </m:r>
                              </m:e>
                            </m:d>
                            <m:r>
                              <a:rPr lang="fi-FI" sz="1200" b="0" i="0" baseline="0">
                                <a:solidFill>
                                  <a:schemeClr val="dk1"/>
                                </a:solidFill>
                                <a:effectLst/>
                                <a:latin typeface="Cambria Math" panose="02040503050406030204" pitchFamily="18" charset="0"/>
                                <a:ea typeface="+mn-ea"/>
                                <a:cs typeface="+mn-cs"/>
                              </a:rPr>
                              <m:t>=</m:t>
                            </m:r>
                            <m:f>
                              <m:fPr>
                                <m:ctrlPr>
                                  <a:rPr lang="fi-FI" sz="1200" b="0" i="1" baseline="0">
                                    <a:solidFill>
                                      <a:schemeClr val="dk1"/>
                                    </a:solidFill>
                                    <a:effectLst/>
                                    <a:latin typeface="Cambria Math" panose="02040503050406030204" pitchFamily="18" charset="0"/>
                                    <a:ea typeface="+mn-ea"/>
                                    <a:cs typeface="+mn-cs"/>
                                  </a:rPr>
                                </m:ctrlPr>
                              </m:fPr>
                              <m:num>
                                <m:sSub>
                                  <m:sSubPr>
                                    <m:ctrlPr>
                                      <a:rPr lang="fi-FI" sz="1200" b="0" i="1" baseline="0">
                                        <a:solidFill>
                                          <a:schemeClr val="dk1"/>
                                        </a:solidFill>
                                        <a:effectLst/>
                                        <a:latin typeface="Cambria Math" panose="02040503050406030204" pitchFamily="18" charset="0"/>
                                        <a:ea typeface="+mn-ea"/>
                                        <a:cs typeface="+mn-cs"/>
                                      </a:rPr>
                                    </m:ctrlPr>
                                  </m:sSubPr>
                                  <m:e>
                                    <m:r>
                                      <m:rPr>
                                        <m:sty m:val="p"/>
                                      </m:rPr>
                                      <a:rPr lang="fi-FI" sz="1200" b="0" i="0" baseline="0">
                                        <a:solidFill>
                                          <a:schemeClr val="dk1"/>
                                        </a:solidFill>
                                        <a:effectLst/>
                                        <a:latin typeface="Cambria Math" panose="02040503050406030204" pitchFamily="18" charset="0"/>
                                        <a:ea typeface="+mn-ea"/>
                                        <a:cs typeface="+mn-cs"/>
                                      </a:rPr>
                                      <m:t>LD</m:t>
                                    </m:r>
                                  </m:e>
                                  <m:sub>
                                    <m:r>
                                      <a:rPr lang="fi-FI" sz="1200" b="0" i="0" baseline="0">
                                        <a:solidFill>
                                          <a:schemeClr val="dk1"/>
                                        </a:solidFill>
                                        <a:effectLst/>
                                        <a:latin typeface="Cambria Math" panose="02040503050406030204" pitchFamily="18" charset="0"/>
                                        <a:ea typeface="+mn-ea"/>
                                        <a:cs typeface="+mn-cs"/>
                                      </a:rPr>
                                      <m:t>50(</m:t>
                                    </m:r>
                                    <m:r>
                                      <m:rPr>
                                        <m:sty m:val="p"/>
                                      </m:rPr>
                                      <a:rPr lang="fi-FI" sz="1200" b="0" i="0" baseline="0">
                                        <a:solidFill>
                                          <a:schemeClr val="dk1"/>
                                        </a:solidFill>
                                        <a:effectLst/>
                                        <a:latin typeface="Cambria Math" panose="02040503050406030204" pitchFamily="18" charset="0"/>
                                        <a:ea typeface="+mn-ea"/>
                                        <a:cs typeface="+mn-cs"/>
                                      </a:rPr>
                                      <m:t>mix</m:t>
                                    </m:r>
                                    <m:r>
                                      <a:rPr lang="fi-FI" sz="1200" b="0" i="0" baseline="0">
                                        <a:solidFill>
                                          <a:schemeClr val="dk1"/>
                                        </a:solidFill>
                                        <a:effectLst/>
                                        <a:latin typeface="Cambria Math" panose="02040503050406030204" pitchFamily="18" charset="0"/>
                                        <a:ea typeface="+mn-ea"/>
                                        <a:cs typeface="+mn-cs"/>
                                      </a:rPr>
                                      <m:t>)</m:t>
                                    </m:r>
                                  </m:sub>
                                </m:sSub>
                              </m:num>
                              <m:den>
                                <m:sSub>
                                  <m:sSubPr>
                                    <m:ctrlPr>
                                      <a:rPr lang="fi-FI" sz="1200" b="0" i="1" baseline="0">
                                        <a:solidFill>
                                          <a:schemeClr val="dk1"/>
                                        </a:solidFill>
                                        <a:effectLst/>
                                        <a:latin typeface="Cambria Math" panose="02040503050406030204" pitchFamily="18" charset="0"/>
                                        <a:ea typeface="+mn-ea"/>
                                        <a:cs typeface="+mn-cs"/>
                                      </a:rPr>
                                    </m:ctrlPr>
                                  </m:sSubPr>
                                  <m:e>
                                    <m:nary>
                                      <m:naryPr>
                                        <m:chr m:val="∑"/>
                                        <m:subHide m:val="on"/>
                                        <m:supHide m:val="on"/>
                                        <m:ctrlPr>
                                          <a:rPr lang="fi-FI" sz="1200" b="0" i="1" baseline="0">
                                            <a:solidFill>
                                              <a:schemeClr val="dk1"/>
                                            </a:solidFill>
                                            <a:effectLst/>
                                            <a:latin typeface="Cambria Math" panose="02040503050406030204" pitchFamily="18" charset="0"/>
                                            <a:ea typeface="+mn-ea"/>
                                            <a:cs typeface="+mn-cs"/>
                                          </a:rPr>
                                        </m:ctrlPr>
                                      </m:naryPr>
                                      <m:sub/>
                                      <m:sup/>
                                      <m:e>
                                        <m:r>
                                          <m:rPr>
                                            <m:sty m:val="p"/>
                                          </m:rPr>
                                          <a:rPr lang="fi-FI" sz="1200" b="0" i="0" baseline="0">
                                            <a:solidFill>
                                              <a:schemeClr val="dk1"/>
                                            </a:solidFill>
                                            <a:effectLst/>
                                            <a:latin typeface="Cambria Math" panose="02040503050406030204" pitchFamily="18" charset="0"/>
                                            <a:ea typeface="+mn-ea"/>
                                            <a:cs typeface="+mn-cs"/>
                                          </a:rPr>
                                          <m:t>X</m:t>
                                        </m:r>
                                      </m:e>
                                    </m:nary>
                                  </m:e>
                                  <m:sub>
                                    <m:r>
                                      <a:rPr lang="fi-FI" sz="1200" b="0" i="0" baseline="0">
                                        <a:solidFill>
                                          <a:schemeClr val="dk1"/>
                                        </a:solidFill>
                                        <a:effectLst/>
                                        <a:latin typeface="Cambria Math" panose="02040503050406030204" pitchFamily="18" charset="0"/>
                                        <a:ea typeface="+mn-ea"/>
                                        <a:cs typeface="+mn-cs"/>
                                      </a:rPr>
                                      <m:t>(</m:t>
                                    </m:r>
                                    <m:r>
                                      <m:rPr>
                                        <m:sty m:val="p"/>
                                      </m:rPr>
                                      <a:rPr lang="fi-FI" sz="1200" b="0" i="0" baseline="0">
                                        <a:solidFill>
                                          <a:schemeClr val="dk1"/>
                                        </a:solidFill>
                                        <a:effectLst/>
                                        <a:latin typeface="Cambria Math" panose="02040503050406030204" pitchFamily="18" charset="0"/>
                                        <a:ea typeface="+mn-ea"/>
                                        <a:cs typeface="+mn-cs"/>
                                      </a:rPr>
                                      <m:t>a</m:t>
                                    </m:r>
                                    <m:r>
                                      <a:rPr lang="fi-FI" sz="1200" b="0" i="0" baseline="0">
                                        <a:solidFill>
                                          <a:schemeClr val="dk1"/>
                                        </a:solidFill>
                                        <a:effectLst/>
                                        <a:latin typeface="Cambria Math" panose="02040503050406030204" pitchFamily="18" charset="0"/>
                                        <a:ea typeface="+mn-ea"/>
                                        <a:cs typeface="+mn-cs"/>
                                      </a:rPr>
                                      <m:t>.</m:t>
                                    </m:r>
                                    <m:r>
                                      <m:rPr>
                                        <m:sty m:val="p"/>
                                      </m:rPr>
                                      <a:rPr lang="fi-FI" sz="1200" b="0" i="0" baseline="0">
                                        <a:solidFill>
                                          <a:schemeClr val="dk1"/>
                                        </a:solidFill>
                                        <a:effectLst/>
                                        <a:latin typeface="Cambria Math" panose="02040503050406030204" pitchFamily="18" charset="0"/>
                                        <a:ea typeface="+mn-ea"/>
                                        <a:cs typeface="+mn-cs"/>
                                      </a:rPr>
                                      <m:t>s</m:t>
                                    </m:r>
                                    <m:r>
                                      <a:rPr lang="fi-FI" sz="1200" b="0" i="0" baseline="0">
                                        <a:solidFill>
                                          <a:schemeClr val="dk1"/>
                                        </a:solidFill>
                                        <a:effectLst/>
                                        <a:latin typeface="Cambria Math" panose="02040503050406030204" pitchFamily="18" charset="0"/>
                                        <a:ea typeface="+mn-ea"/>
                                        <a:cs typeface="+mn-cs"/>
                                      </a:rPr>
                                      <m:t>.</m:t>
                                    </m:r>
                                    <m:r>
                                      <m:rPr>
                                        <m:sty m:val="p"/>
                                      </m:rPr>
                                      <a:rPr lang="fi-FI" sz="1200" b="0" i="0" baseline="0">
                                        <a:solidFill>
                                          <a:schemeClr val="dk1"/>
                                        </a:solidFill>
                                        <a:effectLst/>
                                        <a:latin typeface="Cambria Math" panose="02040503050406030204" pitchFamily="18" charset="0"/>
                                        <a:ea typeface="+mn-ea"/>
                                        <a:cs typeface="+mn-cs"/>
                                      </a:rPr>
                                      <m:t>i</m:t>
                                    </m:r>
                                    <m:r>
                                      <a:rPr lang="fi-FI" sz="1200" b="0" i="0" baseline="0">
                                        <a:solidFill>
                                          <a:schemeClr val="dk1"/>
                                        </a:solidFill>
                                        <a:effectLst/>
                                        <a:latin typeface="Cambria Math" panose="02040503050406030204" pitchFamily="18" charset="0"/>
                                        <a:ea typeface="+mn-ea"/>
                                        <a:cs typeface="+mn-cs"/>
                                      </a:rPr>
                                      <m:t>)</m:t>
                                    </m:r>
                                  </m:sub>
                                </m:sSub>
                              </m:den>
                            </m:f>
                            <m:r>
                              <a:rPr lang="fi-FI" sz="1200" b="0" i="1" baseline="0">
                                <a:solidFill>
                                  <a:schemeClr val="dk1"/>
                                </a:solidFill>
                                <a:effectLst/>
                                <a:latin typeface="Cambria Math" panose="02040503050406030204" pitchFamily="18" charset="0"/>
                                <a:ea typeface="+mn-ea"/>
                                <a:cs typeface="+mn-cs"/>
                              </a:rPr>
                              <m:t>= </m:t>
                            </m:r>
                            <m:f>
                              <m:fPr>
                                <m:ctrlPr>
                                  <a:rPr lang="fi-FI" sz="1100" b="0" i="1" baseline="0">
                                    <a:solidFill>
                                      <a:schemeClr val="dk1"/>
                                    </a:solidFill>
                                    <a:effectLst/>
                                    <a:latin typeface="Cambria Math" panose="02040503050406030204" pitchFamily="18" charset="0"/>
                                    <a:ea typeface="+mn-ea"/>
                                    <a:cs typeface="+mn-cs"/>
                                  </a:rPr>
                                </m:ctrlPr>
                              </m:fPr>
                              <m:num>
                                <m:sSub>
                                  <m:sSubPr>
                                    <m:ctrlPr>
                                      <a:rPr lang="fi-FI" sz="1100" b="0" i="1" baseline="0">
                                        <a:solidFill>
                                          <a:schemeClr val="dk1"/>
                                        </a:solidFill>
                                        <a:effectLst/>
                                        <a:latin typeface="Cambria Math" panose="02040503050406030204" pitchFamily="18" charset="0"/>
                                        <a:ea typeface="+mn-ea"/>
                                        <a:cs typeface="+mn-cs"/>
                                      </a:rPr>
                                    </m:ctrlPr>
                                  </m:sSubPr>
                                  <m:e>
                                    <m:r>
                                      <m:rPr>
                                        <m:sty m:val="p"/>
                                      </m:rPr>
                                      <a:rPr lang="fi-FI" sz="1100" b="0" i="0" baseline="0">
                                        <a:solidFill>
                                          <a:schemeClr val="dk1"/>
                                        </a:solidFill>
                                        <a:effectLst/>
                                        <a:latin typeface="Cambria Math" panose="02040503050406030204" pitchFamily="18" charset="0"/>
                                        <a:ea typeface="+mn-ea"/>
                                        <a:cs typeface="+mn-cs"/>
                                      </a:rPr>
                                      <m:t>LD</m:t>
                                    </m:r>
                                  </m:e>
                                  <m:sub>
                                    <m:r>
                                      <a:rPr lang="fi-FI" sz="1100" b="0" i="0" baseline="0">
                                        <a:solidFill>
                                          <a:schemeClr val="dk1"/>
                                        </a:solidFill>
                                        <a:effectLst/>
                                        <a:latin typeface="Cambria Math" panose="02040503050406030204" pitchFamily="18" charset="0"/>
                                        <a:ea typeface="+mn-ea"/>
                                        <a:cs typeface="+mn-cs"/>
                                      </a:rPr>
                                      <m:t>50(</m:t>
                                    </m:r>
                                    <m:r>
                                      <m:rPr>
                                        <m:sty m:val="p"/>
                                      </m:rPr>
                                      <a:rPr lang="fi-FI" sz="1100" b="0" i="0" baseline="0">
                                        <a:solidFill>
                                          <a:schemeClr val="dk1"/>
                                        </a:solidFill>
                                        <a:effectLst/>
                                        <a:latin typeface="Cambria Math" panose="02040503050406030204" pitchFamily="18" charset="0"/>
                                        <a:ea typeface="+mn-ea"/>
                                        <a:cs typeface="+mn-cs"/>
                                      </a:rPr>
                                      <m:t>mix</m:t>
                                    </m:r>
                                    <m:r>
                                      <a:rPr lang="fi-FI" sz="1100" b="0" i="0" baseline="0">
                                        <a:solidFill>
                                          <a:schemeClr val="dk1"/>
                                        </a:solidFill>
                                        <a:effectLst/>
                                        <a:latin typeface="Cambria Math" panose="02040503050406030204" pitchFamily="18" charset="0"/>
                                        <a:ea typeface="+mn-ea"/>
                                        <a:cs typeface="+mn-cs"/>
                                      </a:rPr>
                                      <m:t>)</m:t>
                                    </m:r>
                                  </m:sub>
                                </m:sSub>
                              </m:num>
                              <m:den>
                                <m:r>
                                  <a:rPr lang="fi-FI" sz="1100" b="0" i="1" baseline="0">
                                    <a:solidFill>
                                      <a:schemeClr val="dk1"/>
                                    </a:solidFill>
                                    <a:effectLst/>
                                    <a:latin typeface="Cambria Math" panose="02040503050406030204" pitchFamily="18" charset="0"/>
                                    <a:ea typeface="+mn-ea"/>
                                    <a:cs typeface="+mn-cs"/>
                                  </a:rPr>
                                  <m:t>1</m:t>
                                </m:r>
                              </m:den>
                            </m:f>
                            <m:r>
                              <a:rPr lang="fi-FI" sz="1100" b="0" i="1" baseline="0">
                                <a:solidFill>
                                  <a:schemeClr val="dk1"/>
                                </a:solidFill>
                                <a:effectLst/>
                                <a:latin typeface="Cambria Math" panose="02040503050406030204" pitchFamily="18" charset="0"/>
                                <a:ea typeface="+mn-ea"/>
                                <a:cs typeface="+mn-cs"/>
                              </a:rPr>
                              <m:t> </m:t>
                            </m:r>
                          </m:oMath>
                        </m:oMathPara>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Arial" panose="020B0604020202020204" pitchFamily="34" charset="0"/>
                          <a:ea typeface="+mn-ea"/>
                          <a:cs typeface="Arial" panose="020B0604020202020204" pitchFamily="34" charset="0"/>
                        </a:rPr>
                        <a:t>Tox per fraction (mix) is equal to LD</a:t>
                      </a:r>
                      <a:r>
                        <a:rPr lang="en-GB" sz="1100" b="0" i="0" baseline="-25000">
                          <a:solidFill>
                            <a:schemeClr val="dk1"/>
                          </a:solidFill>
                          <a:effectLst/>
                          <a:latin typeface="Arial" panose="020B0604020202020204" pitchFamily="34" charset="0"/>
                          <a:ea typeface="+mn-ea"/>
                          <a:cs typeface="Arial" panose="020B0604020202020204" pitchFamily="34" charset="0"/>
                        </a:rPr>
                        <a:t>50(mix)</a:t>
                      </a:r>
                      <a:r>
                        <a:rPr lang="en-GB" sz="1100" b="0" i="0" baseline="0">
                          <a:solidFill>
                            <a:schemeClr val="dk1"/>
                          </a:solidFill>
                          <a:effectLst/>
                          <a:latin typeface="Arial" panose="020B0604020202020204" pitchFamily="34" charset="0"/>
                          <a:ea typeface="+mn-ea"/>
                          <a:cs typeface="Arial" panose="020B0604020202020204" pitchFamily="34" charset="0"/>
                        </a:rPr>
                        <a:t>, as the sum of fractions = 1.</a:t>
                      </a:r>
                      <a:endParaRPr lang="en-GB" sz="1100">
                        <a:effectLst/>
                        <a:latin typeface="Arial" panose="020B0604020202020204" pitchFamily="34" charset="0"/>
                        <a:cs typeface="Arial" panose="020B0604020202020204" pitchFamily="34" charset="0"/>
                      </a:endParaRPr>
                    </a:p>
                  </xdr:txBody>
                </xdr:sp>
              </mc:Choice>
              <mc:Fallback xmlns="">
                <xdr:sp macro="" textlink="">
                  <xdr:nvSpPr>
                    <xdr:cNvPr id="27" name="TextBox 26">
                      <a:extLst>
                        <a:ext uri="{FF2B5EF4-FFF2-40B4-BE49-F238E27FC236}">
                          <a16:creationId xmlns:a16="http://schemas.microsoft.com/office/drawing/2014/main" id="{4245DFD7-1C41-4796-A480-9DB7E87E2648}"/>
                        </a:ext>
                      </a:extLst>
                    </xdr:cNvPr>
                    <xdr:cNvSpPr txBox="1"/>
                  </xdr:nvSpPr>
                  <xdr:spPr>
                    <a:xfrm>
                      <a:off x="12615607" y="4397348"/>
                      <a:ext cx="4870575" cy="1589523"/>
                    </a:xfrm>
                    <a:prstGeom prst="rect">
                      <a:avLst/>
                    </a:prstGeom>
                    <a:solidFill>
                      <a:srgbClr val="F3F2E7"/>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fi-FI" sz="1200" b="0" i="0" u="none" strike="noStrike" baseline="0">
                          <a:solidFill>
                            <a:schemeClr val="dk1"/>
                          </a:solidFill>
                          <a:latin typeface="Cambria Math" panose="02040503050406030204" pitchFamily="18" charset="0"/>
                          <a:ea typeface="+mn-ea"/>
                          <a:cs typeface="+mn-cs"/>
                        </a:rPr>
                        <a:t>tox per fraction (a.s.)=LD_(50〖(a.s.〗_i))/</a:t>
                      </a:r>
                      <a:r>
                        <a:rPr lang="fi-FI" sz="1200" b="0" i="0" baseline="0">
                          <a:solidFill>
                            <a:schemeClr val="dk1"/>
                          </a:solidFill>
                          <a:effectLst/>
                          <a:latin typeface="Cambria Math" panose="02040503050406030204" pitchFamily="18" charset="0"/>
                          <a:ea typeface="+mn-ea"/>
                          <a:cs typeface="+mn-cs"/>
                        </a:rPr>
                        <a:t>X_(〖(a.s.〗_i)) </a:t>
                      </a:r>
                      <a:endParaRPr lang="en-GB" sz="1200" b="0" i="0" u="none" strike="noStrike" baseline="0">
                        <a:solidFill>
                          <a:schemeClr val="dk1"/>
                        </a:solidFill>
                        <a:latin typeface="+mn-lt"/>
                        <a:ea typeface="+mn-ea"/>
                        <a:cs typeface="+mn-cs"/>
                      </a:endParaRPr>
                    </a:p>
                    <a:p>
                      <a:endParaRPr lang="en-GB" sz="12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200" b="0" i="0" baseline="0">
                          <a:solidFill>
                            <a:schemeClr val="dk1"/>
                          </a:solidFill>
                          <a:effectLst/>
                          <a:latin typeface="Cambria Math" panose="02040503050406030204" pitchFamily="18" charset="0"/>
                          <a:ea typeface="+mn-ea"/>
                          <a:cs typeface="+mn-cs"/>
                        </a:rPr>
                        <a:t>tox per fraction (mix)=LD_(50(mix))/∑▒X_((a.s.i)) = </a:t>
                      </a:r>
                      <a:r>
                        <a:rPr lang="fi-FI" sz="1100" b="0" i="0" baseline="0">
                          <a:solidFill>
                            <a:schemeClr val="dk1"/>
                          </a:solidFill>
                          <a:effectLst/>
                          <a:latin typeface="Cambria Math" panose="02040503050406030204" pitchFamily="18" charset="0"/>
                          <a:ea typeface="+mn-ea"/>
                          <a:cs typeface="+mn-cs"/>
                        </a:rPr>
                        <a:t> LD_(50(mix))/1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Arial" panose="020B0604020202020204" pitchFamily="34" charset="0"/>
                          <a:ea typeface="+mn-ea"/>
                          <a:cs typeface="Arial" panose="020B0604020202020204" pitchFamily="34" charset="0"/>
                        </a:rPr>
                        <a:t>Tox per fraction (mix) is equal to LD</a:t>
                      </a:r>
                      <a:r>
                        <a:rPr lang="en-GB" sz="1100" b="0" i="0" baseline="-25000">
                          <a:solidFill>
                            <a:schemeClr val="dk1"/>
                          </a:solidFill>
                          <a:effectLst/>
                          <a:latin typeface="Arial" panose="020B0604020202020204" pitchFamily="34" charset="0"/>
                          <a:ea typeface="+mn-ea"/>
                          <a:cs typeface="Arial" panose="020B0604020202020204" pitchFamily="34" charset="0"/>
                        </a:rPr>
                        <a:t>50(mix)</a:t>
                      </a:r>
                      <a:r>
                        <a:rPr lang="en-GB" sz="1100" b="0" i="0" baseline="0">
                          <a:solidFill>
                            <a:schemeClr val="dk1"/>
                          </a:solidFill>
                          <a:effectLst/>
                          <a:latin typeface="Arial" panose="020B0604020202020204" pitchFamily="34" charset="0"/>
                          <a:ea typeface="+mn-ea"/>
                          <a:cs typeface="Arial" panose="020B0604020202020204" pitchFamily="34" charset="0"/>
                        </a:rPr>
                        <a:t>, as the sum of fractions = 1.</a:t>
                      </a:r>
                      <a:endParaRPr lang="en-GB" sz="1100">
                        <a:effectLst/>
                        <a:latin typeface="Arial" panose="020B0604020202020204" pitchFamily="34" charset="0"/>
                        <a:cs typeface="Arial" panose="020B0604020202020204" pitchFamily="34" charset="0"/>
                      </a:endParaRPr>
                    </a:p>
                  </xdr:txBody>
                </xdr:sp>
              </mc:Fallback>
            </mc:AlternateContent>
          </xdr:grpSp>
        </xdr:grpSp>
      </xdr:grpSp>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1A7A4351-5A55-4C45-A022-9AF2DDBF4F01}"/>
                  </a:ext>
                </a:extLst>
              </xdr:cNvPr>
              <xdr:cNvSpPr txBox="1"/>
            </xdr:nvSpPr>
            <xdr:spPr>
              <a:xfrm>
                <a:off x="12315266" y="10174941"/>
                <a:ext cx="5376238" cy="2991970"/>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DDD</a:t>
                </a:r>
                <a:r>
                  <a:rPr lang="en-GB" sz="1100" baseline="-25000">
                    <a:latin typeface="Arial" panose="020B0604020202020204" pitchFamily="34" charset="0"/>
                    <a:cs typeface="Arial" panose="020B0604020202020204" pitchFamily="34" charset="0"/>
                  </a:rPr>
                  <a:t>90 </a:t>
                </a:r>
                <a:r>
                  <a:rPr lang="en-GB" sz="1100" baseline="0">
                    <a:latin typeface="Arial" panose="020B0604020202020204" pitchFamily="34" charset="0"/>
                    <a:cs typeface="Arial" panose="020B0604020202020204" pitchFamily="34" charset="0"/>
                  </a:rPr>
                  <a:t>= SV</a:t>
                </a:r>
                <a:r>
                  <a:rPr lang="en-GB" sz="1100" baseline="-25000">
                    <a:latin typeface="Arial" panose="020B0604020202020204" pitchFamily="34" charset="0"/>
                    <a:cs typeface="Arial" panose="020B0604020202020204" pitchFamily="34" charset="0"/>
                  </a:rPr>
                  <a:t>90 </a:t>
                </a:r>
                <a:r>
                  <a:rPr lang="en-GB" sz="1100" baseline="0">
                    <a:latin typeface="Arial" panose="020B0604020202020204" pitchFamily="34" charset="0"/>
                    <a:cs typeface="Arial" panose="020B0604020202020204" pitchFamily="34" charset="0"/>
                  </a:rPr>
                  <a:t>* Application rate </a:t>
                </a:r>
                <a:r>
                  <a:rPr lang="en-GB" sz="1100" b="0" i="0" u="none" strike="noStrike">
                    <a:solidFill>
                      <a:schemeClr val="dk1"/>
                    </a:solidFill>
                    <a:effectLst/>
                    <a:latin typeface="Arial" panose="020B0604020202020204" pitchFamily="34" charset="0"/>
                    <a:ea typeface="+mn-ea"/>
                    <a:cs typeface="Arial" panose="020B0604020202020204" pitchFamily="34" charset="0"/>
                  </a:rPr>
                  <a:t>(∑(kg a.s.</a:t>
                </a:r>
                <a:r>
                  <a:rPr lang="en-GB" sz="1100" b="0" i="0" u="none" strike="noStrike" baseline="-25000">
                    <a:solidFill>
                      <a:schemeClr val="dk1"/>
                    </a:solidFill>
                    <a:effectLst/>
                    <a:latin typeface="Arial" panose="020B0604020202020204" pitchFamily="34" charset="0"/>
                    <a:ea typeface="+mn-ea"/>
                    <a:cs typeface="Arial" panose="020B0604020202020204" pitchFamily="34" charset="0"/>
                  </a:rPr>
                  <a:t>[i]</a:t>
                </a:r>
                <a:r>
                  <a:rPr lang="en-GB" sz="1100" b="0" i="0" u="none" strike="noStrike">
                    <a:solidFill>
                      <a:schemeClr val="dk1"/>
                    </a:solidFill>
                    <a:effectLst/>
                    <a:latin typeface="Arial" panose="020B0604020202020204" pitchFamily="34" charset="0"/>
                    <a:ea typeface="+mn-ea"/>
                    <a:cs typeface="Arial" panose="020B0604020202020204" pitchFamily="34" charset="0"/>
                  </a:rPr>
                  <a:t>)/ha)</a:t>
                </a:r>
                <a:r>
                  <a:rPr lang="en-GB" sz="1100">
                    <a:latin typeface="Arial" panose="020B0604020202020204" pitchFamily="34" charset="0"/>
                    <a:cs typeface="Arial" panose="020B0604020202020204" pitchFamily="34" charset="0"/>
                  </a:rPr>
                  <a:t> * MAF</a:t>
                </a:r>
                <a:r>
                  <a:rPr lang="en-GB" sz="1100" baseline="-25000">
                    <a:latin typeface="Arial" panose="020B0604020202020204" pitchFamily="34" charset="0"/>
                    <a:cs typeface="Arial" panose="020B0604020202020204" pitchFamily="34" charset="0"/>
                  </a:rPr>
                  <a:t>90</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With:</a:t>
                </a:r>
              </a:p>
              <a:p>
                <a:r>
                  <a:rPr lang="en-GB" sz="1100" b="0">
                    <a:latin typeface="Arial" panose="020B0604020202020204" pitchFamily="34" charset="0"/>
                    <a:cs typeface="Arial" panose="020B0604020202020204" pitchFamily="34" charset="0"/>
                  </a:rPr>
                  <a:t>DDD</a:t>
                </a:r>
                <a:r>
                  <a:rPr lang="en-GB" sz="1100" b="0" baseline="-25000">
                    <a:latin typeface="Arial" panose="020B0604020202020204" pitchFamily="34" charset="0"/>
                    <a:cs typeface="Arial" panose="020B0604020202020204" pitchFamily="34" charset="0"/>
                  </a:rPr>
                  <a:t>90</a:t>
                </a:r>
                <a:r>
                  <a:rPr lang="en-GB" sz="1100" b="0" i="0" baseline="0">
                    <a:latin typeface="Arial" panose="020B0604020202020204" pitchFamily="34" charset="0"/>
                    <a:cs typeface="Arial" panose="020B0604020202020204" pitchFamily="34" charset="0"/>
                  </a:rPr>
                  <a:t> = Theoretical daily dietary dose of the mixture, following one or multiple applications.</a:t>
                </a:r>
              </a:p>
              <a:p>
                <a:endParaRPr lang="en-GB" sz="1100" b="0" i="0" baseline="0">
                  <a:latin typeface="Arial" panose="020B0604020202020204" pitchFamily="34" charset="0"/>
                  <a:cs typeface="Arial" panose="020B0604020202020204" pitchFamily="34" charset="0"/>
                </a:endParaRPr>
              </a:p>
              <a:p>
                <a:r>
                  <a:rPr lang="en-GB" sz="1100" b="0" i="0" baseline="0">
                    <a:latin typeface="Arial" panose="020B0604020202020204" pitchFamily="34" charset="0"/>
                    <a:cs typeface="Arial" panose="020B0604020202020204" pitchFamily="34" charset="0"/>
                  </a:rPr>
                  <a:t>SV</a:t>
                </a:r>
                <a:r>
                  <a:rPr lang="en-GB" sz="1100" b="0" i="0" baseline="-25000">
                    <a:latin typeface="Arial" panose="020B0604020202020204" pitchFamily="34" charset="0"/>
                    <a:cs typeface="Arial" panose="020B0604020202020204" pitchFamily="34" charset="0"/>
                  </a:rPr>
                  <a:t>90 </a:t>
                </a:r>
                <a:r>
                  <a:rPr lang="en-GB" sz="1100" b="0" i="0" baseline="0">
                    <a:latin typeface="Arial" panose="020B0604020202020204" pitchFamily="34" charset="0"/>
                    <a:cs typeface="Arial" panose="020B0604020202020204" pitchFamily="34" charset="0"/>
                  </a:rPr>
                  <a:t>= Acute shortcut value (based on 90</a:t>
                </a:r>
                <a:r>
                  <a:rPr lang="en-GB" sz="1100" b="0" i="0" baseline="30000">
                    <a:latin typeface="Arial" panose="020B0604020202020204" pitchFamily="34" charset="0"/>
                    <a:cs typeface="Arial" panose="020B0604020202020204" pitchFamily="34" charset="0"/>
                  </a:rPr>
                  <a:t>th</a:t>
                </a:r>
                <a:r>
                  <a:rPr lang="en-GB" sz="1100" b="0" i="0" baseline="0">
                    <a:latin typeface="Arial" panose="020B0604020202020204" pitchFamily="34" charset="0"/>
                    <a:cs typeface="Arial" panose="020B0604020202020204" pitchFamily="34" charset="0"/>
                  </a:rPr>
                  <a:t> percentile residues) in accordance with Tier 1 of the EFSA B&amp;M GD.</a:t>
                </a:r>
              </a:p>
              <a:p>
                <a:endParaRPr lang="en-GB" sz="1100" b="0" i="0" baseline="0">
                  <a:latin typeface="Arial" panose="020B0604020202020204" pitchFamily="34" charset="0"/>
                  <a:cs typeface="Arial" panose="020B0604020202020204" pitchFamily="34" charset="0"/>
                </a:endParaRPr>
              </a:p>
              <a:p>
                <a:r>
                  <a:rPr lang="en-GB" sz="1100" b="0" i="0" baseline="0">
                    <a:latin typeface="Arial" panose="020B0604020202020204" pitchFamily="34" charset="0"/>
                    <a:cs typeface="Arial" panose="020B0604020202020204" pitchFamily="34" charset="0"/>
                  </a:rPr>
                  <a:t>MAF</a:t>
                </a:r>
                <a:r>
                  <a:rPr lang="en-GB" sz="1100" b="0" i="0" baseline="-25000">
                    <a:latin typeface="Arial" panose="020B0604020202020204" pitchFamily="34" charset="0"/>
                    <a:cs typeface="Arial" panose="020B0604020202020204" pitchFamily="34" charset="0"/>
                  </a:rPr>
                  <a:t>90</a:t>
                </a:r>
                <a:r>
                  <a:rPr lang="en-GB" sz="1100" i="0" baseline="0">
                    <a:latin typeface="Arial" panose="020B0604020202020204" pitchFamily="34" charset="0"/>
                    <a:cs typeface="Arial" panose="020B0604020202020204" pitchFamily="34" charset="0"/>
                  </a:rPr>
                  <a:t> = Multiple application factor for the 90</a:t>
                </a:r>
                <a:r>
                  <a:rPr lang="en-GB" sz="1100" i="0" baseline="30000">
                    <a:latin typeface="Arial" panose="020B0604020202020204" pitchFamily="34" charset="0"/>
                    <a:cs typeface="Arial" panose="020B0604020202020204" pitchFamily="34" charset="0"/>
                  </a:rPr>
                  <a:t>th</a:t>
                </a:r>
                <a:r>
                  <a:rPr lang="en-GB" sz="1100" i="0" baseline="0">
                    <a:latin typeface="Arial" panose="020B0604020202020204" pitchFamily="34" charset="0"/>
                    <a:cs typeface="Arial" panose="020B0604020202020204" pitchFamily="34" charset="0"/>
                  </a:rPr>
                  <a:t> percentile residue data, if more than one applications are considered.</a:t>
                </a:r>
                <a:endParaRPr lang="en-GB" sz="1100" b="0" i="0" baseline="0">
                  <a:solidFill>
                    <a:schemeClr val="dk1"/>
                  </a:solidFill>
                  <a:effectLst/>
                  <a:latin typeface="Arial" panose="020B0604020202020204" pitchFamily="34" charset="0"/>
                  <a:ea typeface="+mn-ea"/>
                  <a:cs typeface="Arial" panose="020B0604020202020204" pitchFamily="34" charset="0"/>
                </a:endParaRPr>
              </a:p>
              <a:p>
                <a:endParaRPr lang="en-GB" sz="1100" b="0" i="0" baseline="0">
                  <a:solidFill>
                    <a:schemeClr val="dk1"/>
                  </a:solidFill>
                  <a:effectLst/>
                  <a:latin typeface="Arial" panose="020B0604020202020204" pitchFamily="34" charset="0"/>
                  <a:ea typeface="+mn-ea"/>
                  <a:cs typeface="Arial" panose="020B0604020202020204" pitchFamily="34" charset="0"/>
                </a:endParaRPr>
              </a:p>
              <a:p>
                <a:pPr/>
                <a14:m>
                  <m:oMathPara xmlns:m="http://schemas.openxmlformats.org/officeDocument/2006/math">
                    <m:oMathParaPr>
                      <m:jc m:val="left"/>
                    </m:oMathParaPr>
                    <m:oMath xmlns:m="http://schemas.openxmlformats.org/officeDocument/2006/math">
                      <m:r>
                        <m:rPr>
                          <m:sty m:val="p"/>
                        </m:rPr>
                        <a:rPr lang="fi-FI" sz="1100" b="0" i="0">
                          <a:solidFill>
                            <a:schemeClr val="dk1"/>
                          </a:solidFill>
                          <a:effectLst/>
                          <a:latin typeface="Cambria Math" panose="02040503050406030204" pitchFamily="18" charset="0"/>
                          <a:ea typeface="+mn-ea"/>
                          <a:cs typeface="+mn-cs"/>
                        </a:rPr>
                        <m:t>TER</m:t>
                      </m:r>
                      <m:d>
                        <m:dPr>
                          <m:ctrlPr>
                            <a:rPr lang="fi-FI" sz="1100" b="0" i="1">
                              <a:solidFill>
                                <a:schemeClr val="dk1"/>
                              </a:solidFill>
                              <a:effectLst/>
                              <a:latin typeface="Cambria Math" panose="02040503050406030204" pitchFamily="18" charset="0"/>
                              <a:ea typeface="+mn-ea"/>
                              <a:cs typeface="+mn-cs"/>
                            </a:rPr>
                          </m:ctrlPr>
                        </m:dPr>
                        <m:e>
                          <m:r>
                            <m:rPr>
                              <m:sty m:val="p"/>
                            </m:rPr>
                            <a:rPr lang="fi-FI" sz="1100" b="0" i="0">
                              <a:solidFill>
                                <a:schemeClr val="dk1"/>
                              </a:solidFill>
                              <a:effectLst/>
                              <a:latin typeface="Cambria Math" panose="02040503050406030204" pitchFamily="18" charset="0"/>
                              <a:ea typeface="+mn-ea"/>
                              <a:cs typeface="+mn-cs"/>
                            </a:rPr>
                            <m:t>mix</m:t>
                          </m:r>
                        </m:e>
                      </m:d>
                      <m:r>
                        <a:rPr lang="fi-FI" sz="1100" b="0" i="0">
                          <a:solidFill>
                            <a:schemeClr val="dk1"/>
                          </a:solidFill>
                          <a:effectLst/>
                          <a:latin typeface="Cambria Math" panose="02040503050406030204" pitchFamily="18" charset="0"/>
                          <a:ea typeface="+mn-ea"/>
                          <a:cs typeface="+mn-cs"/>
                        </a:rPr>
                        <m:t>=</m:t>
                      </m:r>
                      <m:f>
                        <m:fPr>
                          <m:ctrlPr>
                            <a:rPr lang="fi-FI" sz="1100" b="0" i="1">
                              <a:solidFill>
                                <a:schemeClr val="dk1"/>
                              </a:solidFill>
                              <a:effectLst/>
                              <a:latin typeface="Cambria Math" panose="02040503050406030204" pitchFamily="18" charset="0"/>
                              <a:ea typeface="+mn-ea"/>
                              <a:cs typeface="+mn-cs"/>
                            </a:rPr>
                          </m:ctrlPr>
                        </m:fPr>
                        <m:num>
                          <m:sSub>
                            <m:sSubPr>
                              <m:ctrlPr>
                                <a:rPr lang="fi-FI" sz="1100" b="0" i="1">
                                  <a:solidFill>
                                    <a:schemeClr val="dk1"/>
                                  </a:solidFill>
                                  <a:effectLst/>
                                  <a:latin typeface="Cambria Math" panose="02040503050406030204" pitchFamily="18" charset="0"/>
                                  <a:ea typeface="+mn-ea"/>
                                  <a:cs typeface="+mn-cs"/>
                                </a:rPr>
                              </m:ctrlPr>
                            </m:sSubPr>
                            <m:e>
                              <m:r>
                                <m:rPr>
                                  <m:sty m:val="p"/>
                                </m:rPr>
                                <a:rPr lang="fi-FI" sz="1100" b="0" i="0">
                                  <a:solidFill>
                                    <a:schemeClr val="dk1"/>
                                  </a:solidFill>
                                  <a:effectLst/>
                                  <a:latin typeface="Cambria Math" panose="02040503050406030204" pitchFamily="18" charset="0"/>
                                  <a:ea typeface="+mn-ea"/>
                                  <a:cs typeface="+mn-cs"/>
                                </a:rPr>
                                <m:t>LD</m:t>
                              </m:r>
                            </m:e>
                            <m:sub>
                              <m:r>
                                <a:rPr lang="fi-FI" sz="1100" b="0" i="0">
                                  <a:solidFill>
                                    <a:schemeClr val="dk1"/>
                                  </a:solidFill>
                                  <a:effectLst/>
                                  <a:latin typeface="Cambria Math" panose="02040503050406030204" pitchFamily="18" charset="0"/>
                                  <a:ea typeface="+mn-ea"/>
                                  <a:cs typeface="+mn-cs"/>
                                </a:rPr>
                                <m:t>50</m:t>
                              </m:r>
                            </m:sub>
                          </m:sSub>
                          <m:r>
                            <a:rPr lang="en-GB" sz="1100" b="0" i="1" baseline="30000">
                              <a:solidFill>
                                <a:schemeClr val="dk1"/>
                              </a:solidFill>
                              <a:effectLst/>
                              <a:latin typeface="Cambria Math" panose="02040503050406030204" pitchFamily="18" charset="0"/>
                              <a:ea typeface="+mn-ea"/>
                              <a:cs typeface="+mn-cs"/>
                            </a:rPr>
                            <m:t>#</m:t>
                          </m:r>
                        </m:num>
                        <m:den>
                          <m:sSub>
                            <m:sSubPr>
                              <m:ctrlPr>
                                <a:rPr lang="fi-FI" sz="1100" b="0" i="1">
                                  <a:solidFill>
                                    <a:schemeClr val="dk1"/>
                                  </a:solidFill>
                                  <a:effectLst/>
                                  <a:latin typeface="Cambria Math" panose="02040503050406030204" pitchFamily="18" charset="0"/>
                                  <a:ea typeface="+mn-ea"/>
                                  <a:cs typeface="+mn-cs"/>
                                </a:rPr>
                              </m:ctrlPr>
                            </m:sSubPr>
                            <m:e>
                              <m:r>
                                <m:rPr>
                                  <m:sty m:val="p"/>
                                </m:rPr>
                                <a:rPr lang="fi-FI" sz="1100" b="0" i="0">
                                  <a:solidFill>
                                    <a:schemeClr val="dk1"/>
                                  </a:solidFill>
                                  <a:effectLst/>
                                  <a:latin typeface="Cambria Math" panose="02040503050406030204" pitchFamily="18" charset="0"/>
                                  <a:ea typeface="+mn-ea"/>
                                  <a:cs typeface="+mn-cs"/>
                                </a:rPr>
                                <m:t>DDD</m:t>
                              </m:r>
                            </m:e>
                            <m:sub>
                              <m:r>
                                <a:rPr lang="fi-FI" sz="1100" b="0" i="1">
                                  <a:solidFill>
                                    <a:schemeClr val="dk1"/>
                                  </a:solidFill>
                                  <a:effectLst/>
                                  <a:latin typeface="Cambria Math" panose="02040503050406030204" pitchFamily="18" charset="0"/>
                                  <a:ea typeface="+mn-ea"/>
                                  <a:cs typeface="+mn-cs"/>
                                </a:rPr>
                                <m:t>90</m:t>
                              </m:r>
                            </m:sub>
                          </m:sSub>
                        </m:den>
                      </m:f>
                    </m:oMath>
                  </m:oMathPara>
                </a14:m>
                <a:endParaRPr lang="en-GB" sz="1100" i="0">
                  <a:latin typeface="Arial" panose="020B0604020202020204" pitchFamily="34" charset="0"/>
                  <a:cs typeface="Arial" panose="020B0604020202020204" pitchFamily="34" charset="0"/>
                </a:endParaRPr>
              </a:p>
              <a:p>
                <a:endParaRPr lang="en-GB" sz="1100" i="0">
                  <a:latin typeface="Arial" panose="020B0604020202020204" pitchFamily="34" charset="0"/>
                  <a:cs typeface="Arial" panose="020B0604020202020204" pitchFamily="34" charset="0"/>
                </a:endParaRPr>
              </a:p>
              <a:p>
                <a:r>
                  <a:rPr lang="en-GB" sz="1100" i="0" baseline="30000">
                    <a:latin typeface="Arial" panose="020B0604020202020204" pitchFamily="34" charset="0"/>
                    <a:cs typeface="Arial" panose="020B0604020202020204" pitchFamily="34" charset="0"/>
                  </a:rPr>
                  <a:t>#</a:t>
                </a:r>
                <a:r>
                  <a:rPr lang="en-GB" sz="1100" i="0">
                    <a:latin typeface="Arial" panose="020B0604020202020204" pitchFamily="34" charset="0"/>
                    <a:cs typeface="Arial" panose="020B0604020202020204" pitchFamily="34" charset="0"/>
                  </a:rPr>
                  <a:t> Either the formulation</a:t>
                </a:r>
                <a:r>
                  <a:rPr lang="en-GB" sz="1100" i="0" baseline="0">
                    <a:latin typeface="Arial" panose="020B0604020202020204" pitchFamily="34" charset="0"/>
                    <a:cs typeface="Arial" panose="020B0604020202020204" pitchFamily="34" charset="0"/>
                  </a:rPr>
                  <a:t> endpoint, or the surrogate endpoint, depending on the available data and Step 1 - 2 calculations.</a:t>
                </a:r>
                <a:endParaRPr lang="en-GB" sz="1100" i="0">
                  <a:latin typeface="Arial" panose="020B0604020202020204" pitchFamily="34" charset="0"/>
                  <a:cs typeface="Arial" panose="020B0604020202020204" pitchFamily="34" charset="0"/>
                </a:endParaRPr>
              </a:p>
            </xdr:txBody>
          </xdr:sp>
        </mc:Choice>
        <mc:Fallback xmlns="">
          <xdr:sp macro="" textlink="">
            <xdr:nvSpPr>
              <xdr:cNvPr id="29" name="TextBox 28">
                <a:extLst>
                  <a:ext uri="{FF2B5EF4-FFF2-40B4-BE49-F238E27FC236}">
                    <a16:creationId xmlns:a16="http://schemas.microsoft.com/office/drawing/2014/main" id="{1A7A4351-5A55-4C45-A022-9AF2DDBF4F01}"/>
                  </a:ext>
                </a:extLst>
              </xdr:cNvPr>
              <xdr:cNvSpPr txBox="1"/>
            </xdr:nvSpPr>
            <xdr:spPr>
              <a:xfrm>
                <a:off x="12315266" y="10174941"/>
                <a:ext cx="5376238" cy="2991970"/>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DDD</a:t>
                </a:r>
                <a:r>
                  <a:rPr lang="en-GB" sz="1100" baseline="-25000">
                    <a:latin typeface="Arial" panose="020B0604020202020204" pitchFamily="34" charset="0"/>
                    <a:cs typeface="Arial" panose="020B0604020202020204" pitchFamily="34" charset="0"/>
                  </a:rPr>
                  <a:t>90 </a:t>
                </a:r>
                <a:r>
                  <a:rPr lang="en-GB" sz="1100" baseline="0">
                    <a:latin typeface="Arial" panose="020B0604020202020204" pitchFamily="34" charset="0"/>
                    <a:cs typeface="Arial" panose="020B0604020202020204" pitchFamily="34" charset="0"/>
                  </a:rPr>
                  <a:t>= SV</a:t>
                </a:r>
                <a:r>
                  <a:rPr lang="en-GB" sz="1100" baseline="-25000">
                    <a:latin typeface="Arial" panose="020B0604020202020204" pitchFamily="34" charset="0"/>
                    <a:cs typeface="Arial" panose="020B0604020202020204" pitchFamily="34" charset="0"/>
                  </a:rPr>
                  <a:t>90 </a:t>
                </a:r>
                <a:r>
                  <a:rPr lang="en-GB" sz="1100" baseline="0">
                    <a:latin typeface="Arial" panose="020B0604020202020204" pitchFamily="34" charset="0"/>
                    <a:cs typeface="Arial" panose="020B0604020202020204" pitchFamily="34" charset="0"/>
                  </a:rPr>
                  <a:t>* Application rate </a:t>
                </a:r>
                <a:r>
                  <a:rPr lang="en-GB" sz="1100" b="0" i="0" u="none" strike="noStrike">
                    <a:solidFill>
                      <a:schemeClr val="dk1"/>
                    </a:solidFill>
                    <a:effectLst/>
                    <a:latin typeface="Arial" panose="020B0604020202020204" pitchFamily="34" charset="0"/>
                    <a:ea typeface="+mn-ea"/>
                    <a:cs typeface="Arial" panose="020B0604020202020204" pitchFamily="34" charset="0"/>
                  </a:rPr>
                  <a:t>(∑(kg a.s.</a:t>
                </a:r>
                <a:r>
                  <a:rPr lang="en-GB" sz="1100" b="0" i="0" u="none" strike="noStrike" baseline="-25000">
                    <a:solidFill>
                      <a:schemeClr val="dk1"/>
                    </a:solidFill>
                    <a:effectLst/>
                    <a:latin typeface="Arial" panose="020B0604020202020204" pitchFamily="34" charset="0"/>
                    <a:ea typeface="+mn-ea"/>
                    <a:cs typeface="Arial" panose="020B0604020202020204" pitchFamily="34" charset="0"/>
                  </a:rPr>
                  <a:t>[i]</a:t>
                </a:r>
                <a:r>
                  <a:rPr lang="en-GB" sz="1100" b="0" i="0" u="none" strike="noStrike">
                    <a:solidFill>
                      <a:schemeClr val="dk1"/>
                    </a:solidFill>
                    <a:effectLst/>
                    <a:latin typeface="Arial" panose="020B0604020202020204" pitchFamily="34" charset="0"/>
                    <a:ea typeface="+mn-ea"/>
                    <a:cs typeface="Arial" panose="020B0604020202020204" pitchFamily="34" charset="0"/>
                  </a:rPr>
                  <a:t>)/ha)</a:t>
                </a:r>
                <a:r>
                  <a:rPr lang="en-GB" sz="1100">
                    <a:latin typeface="Arial" panose="020B0604020202020204" pitchFamily="34" charset="0"/>
                    <a:cs typeface="Arial" panose="020B0604020202020204" pitchFamily="34" charset="0"/>
                  </a:rPr>
                  <a:t> * MAF</a:t>
                </a:r>
                <a:r>
                  <a:rPr lang="en-GB" sz="1100" baseline="-25000">
                    <a:latin typeface="Arial" panose="020B0604020202020204" pitchFamily="34" charset="0"/>
                    <a:cs typeface="Arial" panose="020B0604020202020204" pitchFamily="34" charset="0"/>
                  </a:rPr>
                  <a:t>90</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With:</a:t>
                </a:r>
              </a:p>
              <a:p>
                <a:r>
                  <a:rPr lang="en-GB" sz="1100" b="0">
                    <a:latin typeface="Arial" panose="020B0604020202020204" pitchFamily="34" charset="0"/>
                    <a:cs typeface="Arial" panose="020B0604020202020204" pitchFamily="34" charset="0"/>
                  </a:rPr>
                  <a:t>DDD</a:t>
                </a:r>
                <a:r>
                  <a:rPr lang="en-GB" sz="1100" b="0" baseline="-25000">
                    <a:latin typeface="Arial" panose="020B0604020202020204" pitchFamily="34" charset="0"/>
                    <a:cs typeface="Arial" panose="020B0604020202020204" pitchFamily="34" charset="0"/>
                  </a:rPr>
                  <a:t>90</a:t>
                </a:r>
                <a:r>
                  <a:rPr lang="en-GB" sz="1100" b="0" i="0" baseline="0">
                    <a:latin typeface="Arial" panose="020B0604020202020204" pitchFamily="34" charset="0"/>
                    <a:cs typeface="Arial" panose="020B0604020202020204" pitchFamily="34" charset="0"/>
                  </a:rPr>
                  <a:t> = Theoretical daily dietary dose of the mixture, following one or multiple applications.</a:t>
                </a:r>
              </a:p>
              <a:p>
                <a:endParaRPr lang="en-GB" sz="1100" b="0" i="0" baseline="0">
                  <a:latin typeface="Arial" panose="020B0604020202020204" pitchFamily="34" charset="0"/>
                  <a:cs typeface="Arial" panose="020B0604020202020204" pitchFamily="34" charset="0"/>
                </a:endParaRPr>
              </a:p>
              <a:p>
                <a:r>
                  <a:rPr lang="en-GB" sz="1100" b="0" i="0" baseline="0">
                    <a:latin typeface="Arial" panose="020B0604020202020204" pitchFamily="34" charset="0"/>
                    <a:cs typeface="Arial" panose="020B0604020202020204" pitchFamily="34" charset="0"/>
                  </a:rPr>
                  <a:t>SV</a:t>
                </a:r>
                <a:r>
                  <a:rPr lang="en-GB" sz="1100" b="0" i="0" baseline="-25000">
                    <a:latin typeface="Arial" panose="020B0604020202020204" pitchFamily="34" charset="0"/>
                    <a:cs typeface="Arial" panose="020B0604020202020204" pitchFamily="34" charset="0"/>
                  </a:rPr>
                  <a:t>90 </a:t>
                </a:r>
                <a:r>
                  <a:rPr lang="en-GB" sz="1100" b="0" i="0" baseline="0">
                    <a:latin typeface="Arial" panose="020B0604020202020204" pitchFamily="34" charset="0"/>
                    <a:cs typeface="Arial" panose="020B0604020202020204" pitchFamily="34" charset="0"/>
                  </a:rPr>
                  <a:t>= Acute shortcut value (based on 90</a:t>
                </a:r>
                <a:r>
                  <a:rPr lang="en-GB" sz="1100" b="0" i="0" baseline="30000">
                    <a:latin typeface="Arial" panose="020B0604020202020204" pitchFamily="34" charset="0"/>
                    <a:cs typeface="Arial" panose="020B0604020202020204" pitchFamily="34" charset="0"/>
                  </a:rPr>
                  <a:t>th</a:t>
                </a:r>
                <a:r>
                  <a:rPr lang="en-GB" sz="1100" b="0" i="0" baseline="0">
                    <a:latin typeface="Arial" panose="020B0604020202020204" pitchFamily="34" charset="0"/>
                    <a:cs typeface="Arial" panose="020B0604020202020204" pitchFamily="34" charset="0"/>
                  </a:rPr>
                  <a:t> percentile residues) in accordance with Tier 1 of the EFSA B&amp;M GD.</a:t>
                </a:r>
              </a:p>
              <a:p>
                <a:endParaRPr lang="en-GB" sz="1100" b="0" i="0" baseline="0">
                  <a:latin typeface="Arial" panose="020B0604020202020204" pitchFamily="34" charset="0"/>
                  <a:cs typeface="Arial" panose="020B0604020202020204" pitchFamily="34" charset="0"/>
                </a:endParaRPr>
              </a:p>
              <a:p>
                <a:r>
                  <a:rPr lang="en-GB" sz="1100" b="0" i="0" baseline="0">
                    <a:latin typeface="Arial" panose="020B0604020202020204" pitchFamily="34" charset="0"/>
                    <a:cs typeface="Arial" panose="020B0604020202020204" pitchFamily="34" charset="0"/>
                  </a:rPr>
                  <a:t>MAF</a:t>
                </a:r>
                <a:r>
                  <a:rPr lang="en-GB" sz="1100" b="0" i="0" baseline="-25000">
                    <a:latin typeface="Arial" panose="020B0604020202020204" pitchFamily="34" charset="0"/>
                    <a:cs typeface="Arial" panose="020B0604020202020204" pitchFamily="34" charset="0"/>
                  </a:rPr>
                  <a:t>90</a:t>
                </a:r>
                <a:r>
                  <a:rPr lang="en-GB" sz="1100" i="0" baseline="0">
                    <a:latin typeface="Arial" panose="020B0604020202020204" pitchFamily="34" charset="0"/>
                    <a:cs typeface="Arial" panose="020B0604020202020204" pitchFamily="34" charset="0"/>
                  </a:rPr>
                  <a:t> = Multiple application factor for the 90</a:t>
                </a:r>
                <a:r>
                  <a:rPr lang="en-GB" sz="1100" i="0" baseline="30000">
                    <a:latin typeface="Arial" panose="020B0604020202020204" pitchFamily="34" charset="0"/>
                    <a:cs typeface="Arial" panose="020B0604020202020204" pitchFamily="34" charset="0"/>
                  </a:rPr>
                  <a:t>th</a:t>
                </a:r>
                <a:r>
                  <a:rPr lang="en-GB" sz="1100" i="0" baseline="0">
                    <a:latin typeface="Arial" panose="020B0604020202020204" pitchFamily="34" charset="0"/>
                    <a:cs typeface="Arial" panose="020B0604020202020204" pitchFamily="34" charset="0"/>
                  </a:rPr>
                  <a:t> percentile residue data, if more than one applications are considered.</a:t>
                </a:r>
                <a:endParaRPr lang="en-GB" sz="1100" b="0" i="0" baseline="0">
                  <a:solidFill>
                    <a:schemeClr val="dk1"/>
                  </a:solidFill>
                  <a:effectLst/>
                  <a:latin typeface="Arial" panose="020B0604020202020204" pitchFamily="34" charset="0"/>
                  <a:ea typeface="+mn-ea"/>
                  <a:cs typeface="Arial" panose="020B0604020202020204" pitchFamily="34" charset="0"/>
                </a:endParaRPr>
              </a:p>
              <a:p>
                <a:endParaRPr lang="en-GB" sz="1100" b="0" i="0" baseline="0">
                  <a:solidFill>
                    <a:schemeClr val="dk1"/>
                  </a:solidFill>
                  <a:effectLst/>
                  <a:latin typeface="Arial" panose="020B0604020202020204" pitchFamily="34" charset="0"/>
                  <a:ea typeface="+mn-ea"/>
                  <a:cs typeface="Arial" panose="020B0604020202020204" pitchFamily="34" charset="0"/>
                </a:endParaRPr>
              </a:p>
              <a:p>
                <a:pPr/>
                <a:r>
                  <a:rPr lang="fi-FI" sz="1100" b="0" i="0">
                    <a:solidFill>
                      <a:schemeClr val="dk1"/>
                    </a:solidFill>
                    <a:effectLst/>
                    <a:latin typeface="Cambria Math" panose="02040503050406030204" pitchFamily="18" charset="0"/>
                    <a:ea typeface="+mn-ea"/>
                    <a:cs typeface="+mn-cs"/>
                  </a:rPr>
                  <a:t>TER(mix)=(LD_50</a:t>
                </a:r>
                <a:r>
                  <a:rPr lang="en-GB" sz="1100" b="0" i="0" baseline="30000">
                    <a:solidFill>
                      <a:schemeClr val="dk1"/>
                    </a:solidFill>
                    <a:effectLst/>
                    <a:latin typeface="Cambria Math" panose="02040503050406030204" pitchFamily="18" charset="0"/>
                    <a:ea typeface="+mn-ea"/>
                    <a:cs typeface="+mn-cs"/>
                  </a:rPr>
                  <a:t>#</a:t>
                </a:r>
                <a:r>
                  <a:rPr lang="fi-FI" sz="1100" b="0" i="0" baseline="30000">
                    <a:solidFill>
                      <a:schemeClr val="dk1"/>
                    </a:solidFill>
                    <a:effectLst/>
                    <a:latin typeface="Cambria Math" panose="02040503050406030204" pitchFamily="18" charset="0"/>
                    <a:ea typeface="+mn-ea"/>
                    <a:cs typeface="+mn-cs"/>
                  </a:rPr>
                  <a:t>)/</a:t>
                </a:r>
                <a:r>
                  <a:rPr lang="fi-FI" sz="1100" b="0" i="0">
                    <a:solidFill>
                      <a:schemeClr val="dk1"/>
                    </a:solidFill>
                    <a:effectLst/>
                    <a:latin typeface="Cambria Math" panose="02040503050406030204" pitchFamily="18" charset="0"/>
                    <a:ea typeface="+mn-ea"/>
                    <a:cs typeface="+mn-cs"/>
                  </a:rPr>
                  <a:t>DDD_90 </a:t>
                </a:r>
                <a:endParaRPr lang="en-GB" sz="1100" i="0">
                  <a:latin typeface="Arial" panose="020B0604020202020204" pitchFamily="34" charset="0"/>
                  <a:cs typeface="Arial" panose="020B0604020202020204" pitchFamily="34" charset="0"/>
                </a:endParaRPr>
              </a:p>
              <a:p>
                <a:endParaRPr lang="en-GB" sz="1100" i="0">
                  <a:latin typeface="Arial" panose="020B0604020202020204" pitchFamily="34" charset="0"/>
                  <a:cs typeface="Arial" panose="020B0604020202020204" pitchFamily="34" charset="0"/>
                </a:endParaRPr>
              </a:p>
              <a:p>
                <a:r>
                  <a:rPr lang="en-GB" sz="1100" i="0" baseline="30000">
                    <a:latin typeface="Arial" panose="020B0604020202020204" pitchFamily="34" charset="0"/>
                    <a:cs typeface="Arial" panose="020B0604020202020204" pitchFamily="34" charset="0"/>
                  </a:rPr>
                  <a:t>#</a:t>
                </a:r>
                <a:r>
                  <a:rPr lang="en-GB" sz="1100" i="0">
                    <a:latin typeface="Arial" panose="020B0604020202020204" pitchFamily="34" charset="0"/>
                    <a:cs typeface="Arial" panose="020B0604020202020204" pitchFamily="34" charset="0"/>
                  </a:rPr>
                  <a:t> Either the formulation</a:t>
                </a:r>
                <a:r>
                  <a:rPr lang="en-GB" sz="1100" i="0" baseline="0">
                    <a:latin typeface="Arial" panose="020B0604020202020204" pitchFamily="34" charset="0"/>
                    <a:cs typeface="Arial" panose="020B0604020202020204" pitchFamily="34" charset="0"/>
                  </a:rPr>
                  <a:t> endpoint, or the surrogate endpoint, depending on the available data and Step 1 - 2 calculations.</a:t>
                </a:r>
                <a:endParaRPr lang="en-GB" sz="1100" i="0">
                  <a:latin typeface="Arial" panose="020B0604020202020204" pitchFamily="34" charset="0"/>
                  <a:cs typeface="Arial" panose="020B0604020202020204" pitchFamily="34" charset="0"/>
                </a:endParaRPr>
              </a:p>
            </xdr:txBody>
          </xdr:sp>
        </mc:Fallback>
      </mc:AlternateContent>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1384486</xdr:colOff>
      <xdr:row>20</xdr:row>
      <xdr:rowOff>20410</xdr:rowOff>
    </xdr:from>
    <xdr:to>
      <xdr:col>5</xdr:col>
      <xdr:colOff>742950</xdr:colOff>
      <xdr:row>29</xdr:row>
      <xdr:rowOff>155201</xdr:rowOff>
    </xdr:to>
    <mc:AlternateContent xmlns:mc="http://schemas.openxmlformats.org/markup-compatibility/2006" xmlns:sle15="http://schemas.microsoft.com/office/drawing/2012/slicer">
      <mc:Choice Requires="sle15">
        <xdr:graphicFrame macro="">
          <xdr:nvGraphicFramePr>
            <xdr:cNvPr id="2" name="Crop 2">
              <a:extLst>
                <a:ext uri="{FF2B5EF4-FFF2-40B4-BE49-F238E27FC236}">
                  <a16:creationId xmlns:a16="http://schemas.microsoft.com/office/drawing/2014/main" id="{AAC23FAB-7C57-4B30-A989-3654B9C1F966}"/>
                </a:ext>
              </a:extLst>
            </xdr:cNvPr>
            <xdr:cNvGraphicFramePr/>
          </xdr:nvGraphicFramePr>
          <xdr:xfrm>
            <a:off x="0" y="0"/>
            <a:ext cx="0" cy="0"/>
          </xdr:xfrm>
          <a:graphic>
            <a:graphicData uri="http://schemas.microsoft.com/office/drawing/2010/slicer">
              <sle:slicer xmlns:sle="http://schemas.microsoft.com/office/drawing/2010/slicer" name="Crop 2"/>
            </a:graphicData>
          </a:graphic>
        </xdr:graphicFrame>
      </mc:Choice>
      <mc:Fallback xmlns="">
        <xdr:sp macro="" textlink="">
          <xdr:nvSpPr>
            <xdr:cNvPr id="0" name=""/>
            <xdr:cNvSpPr>
              <a:spLocks noTextEdit="1"/>
            </xdr:cNvSpPr>
          </xdr:nvSpPr>
          <xdr:spPr>
            <a:xfrm>
              <a:off x="1994086" y="4297135"/>
              <a:ext cx="4740089" cy="1849291"/>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5</xdr:col>
      <xdr:colOff>728381</xdr:colOff>
      <xdr:row>18</xdr:row>
      <xdr:rowOff>173130</xdr:rowOff>
    </xdr:from>
    <xdr:to>
      <xdr:col>10</xdr:col>
      <xdr:colOff>609599</xdr:colOff>
      <xdr:row>28</xdr:row>
      <xdr:rowOff>128307</xdr:rowOff>
    </xdr:to>
    <mc:AlternateContent xmlns:mc="http://schemas.openxmlformats.org/markup-compatibility/2006" xmlns:sle15="http://schemas.microsoft.com/office/drawing/2012/slicer">
      <mc:Choice Requires="sle15">
        <xdr:graphicFrame macro="">
          <xdr:nvGraphicFramePr>
            <xdr:cNvPr id="3" name="BBCH Scenario 2">
              <a:extLst>
                <a:ext uri="{FF2B5EF4-FFF2-40B4-BE49-F238E27FC236}">
                  <a16:creationId xmlns:a16="http://schemas.microsoft.com/office/drawing/2014/main" id="{70503662-64A5-403C-884D-A6A1DC0F7DA7}"/>
                </a:ext>
              </a:extLst>
            </xdr:cNvPr>
            <xdr:cNvGraphicFramePr/>
          </xdr:nvGraphicFramePr>
          <xdr:xfrm>
            <a:off x="0" y="0"/>
            <a:ext cx="0" cy="0"/>
          </xdr:xfrm>
          <a:graphic>
            <a:graphicData uri="http://schemas.microsoft.com/office/drawing/2010/slicer">
              <sle:slicer xmlns:sle="http://schemas.microsoft.com/office/drawing/2010/slicer" name="BBCH Scenario 2"/>
            </a:graphicData>
          </a:graphic>
        </xdr:graphicFrame>
      </mc:Choice>
      <mc:Fallback xmlns="">
        <xdr:sp macro="" textlink="">
          <xdr:nvSpPr>
            <xdr:cNvPr id="0" name=""/>
            <xdr:cNvSpPr>
              <a:spLocks noTextEdit="1"/>
            </xdr:cNvSpPr>
          </xdr:nvSpPr>
          <xdr:spPr>
            <a:xfrm>
              <a:off x="6719606" y="4068855"/>
              <a:ext cx="4386543" cy="1860177"/>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2</xdr:col>
      <xdr:colOff>11206</xdr:colOff>
      <xdr:row>20</xdr:row>
      <xdr:rowOff>27560</xdr:rowOff>
    </xdr:from>
    <xdr:to>
      <xdr:col>2</xdr:col>
      <xdr:colOff>1354952</xdr:colOff>
      <xdr:row>26</xdr:row>
      <xdr:rowOff>13191</xdr:rowOff>
    </xdr:to>
    <mc:AlternateContent xmlns:mc="http://schemas.openxmlformats.org/markup-compatibility/2006" xmlns:sle15="http://schemas.microsoft.com/office/drawing/2012/slicer">
      <mc:Choice Requires="sle15">
        <xdr:graphicFrame macro="">
          <xdr:nvGraphicFramePr>
            <xdr:cNvPr id="4" name="Relevance 4">
              <a:extLst>
                <a:ext uri="{FF2B5EF4-FFF2-40B4-BE49-F238E27FC236}">
                  <a16:creationId xmlns:a16="http://schemas.microsoft.com/office/drawing/2014/main" id="{E51285AF-4374-4019-951C-0500CCFBB1F5}"/>
                </a:ext>
              </a:extLst>
            </xdr:cNvPr>
            <xdr:cNvGraphicFramePr/>
          </xdr:nvGraphicFramePr>
          <xdr:xfrm>
            <a:off x="0" y="0"/>
            <a:ext cx="0" cy="0"/>
          </xdr:xfrm>
          <a:graphic>
            <a:graphicData uri="http://schemas.microsoft.com/office/drawing/2010/slicer">
              <sle:slicer xmlns:sle="http://schemas.microsoft.com/office/drawing/2010/slicer" name="Relevance 4"/>
            </a:graphicData>
          </a:graphic>
        </xdr:graphicFrame>
      </mc:Choice>
      <mc:Fallback xmlns="">
        <xdr:sp macro="" textlink="">
          <xdr:nvSpPr>
            <xdr:cNvPr id="0" name=""/>
            <xdr:cNvSpPr>
              <a:spLocks noTextEdit="1"/>
            </xdr:cNvSpPr>
          </xdr:nvSpPr>
          <xdr:spPr>
            <a:xfrm>
              <a:off x="620806" y="4304285"/>
              <a:ext cx="1343746" cy="1128631"/>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600075</xdr:colOff>
      <xdr:row>3</xdr:row>
      <xdr:rowOff>200034</xdr:rowOff>
    </xdr:from>
    <xdr:to>
      <xdr:col>9</xdr:col>
      <xdr:colOff>366149</xdr:colOff>
      <xdr:row>8</xdr:row>
      <xdr:rowOff>176517</xdr:rowOff>
    </xdr:to>
    <xdr:grpSp>
      <xdr:nvGrpSpPr>
        <xdr:cNvPr id="7" name="Group 6">
          <a:extLst>
            <a:ext uri="{FF2B5EF4-FFF2-40B4-BE49-F238E27FC236}">
              <a16:creationId xmlns:a16="http://schemas.microsoft.com/office/drawing/2014/main" id="{F0C35C1E-6C06-4549-8DE2-085454AA6E64}"/>
            </a:ext>
          </a:extLst>
        </xdr:cNvPr>
        <xdr:cNvGrpSpPr/>
      </xdr:nvGrpSpPr>
      <xdr:grpSpPr>
        <a:xfrm>
          <a:off x="600075" y="857259"/>
          <a:ext cx="9338699" cy="1233783"/>
          <a:chOff x="800099" y="10633450"/>
          <a:chExt cx="8602604" cy="1216369"/>
        </a:xfrm>
      </xdr:grpSpPr>
      <xdr:grpSp>
        <xdr:nvGrpSpPr>
          <xdr:cNvPr id="8" name="Group 7">
            <a:extLst>
              <a:ext uri="{FF2B5EF4-FFF2-40B4-BE49-F238E27FC236}">
                <a16:creationId xmlns:a16="http://schemas.microsoft.com/office/drawing/2014/main" id="{05A058C7-1D51-4436-BE1F-BD103610438D}"/>
              </a:ext>
            </a:extLst>
          </xdr:cNvPr>
          <xdr:cNvGrpSpPr/>
        </xdr:nvGrpSpPr>
        <xdr:grpSpPr>
          <a:xfrm>
            <a:off x="800099" y="10633450"/>
            <a:ext cx="8598638" cy="1216369"/>
            <a:chOff x="800099" y="10633450"/>
            <a:chExt cx="8598638" cy="1216369"/>
          </a:xfrm>
        </xdr:grpSpPr>
        <xdr:sp macro="" textlink="">
          <xdr:nvSpPr>
            <xdr:cNvPr id="10" name="TextBox 9">
              <a:extLst>
                <a:ext uri="{FF2B5EF4-FFF2-40B4-BE49-F238E27FC236}">
                  <a16:creationId xmlns:a16="http://schemas.microsoft.com/office/drawing/2014/main" id="{53849C88-467E-4A20-8E4E-C019EBE8FFCE}"/>
                </a:ext>
              </a:extLst>
            </xdr:cNvPr>
            <xdr:cNvSpPr txBox="1"/>
          </xdr:nvSpPr>
          <xdr:spPr>
            <a:xfrm>
              <a:off x="800099" y="10633450"/>
              <a:ext cx="8598638" cy="750488"/>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6800" rtlCol="0" anchor="ctr"/>
            <a:lstStyle/>
            <a:p>
              <a:pPr algn="ctr"/>
              <a:r>
                <a:rPr lang="en-GB" sz="1100" b="0" i="0" u="none" strike="noStrike" baseline="0">
                  <a:solidFill>
                    <a:schemeClr val="dk1"/>
                  </a:solidFill>
                  <a:latin typeface="Arial" panose="020B0604020202020204" pitchFamily="34" charset="0"/>
                  <a:ea typeface="+mn-ea"/>
                  <a:cs typeface="Arial" panose="020B0604020202020204" pitchFamily="34" charset="0"/>
                </a:rPr>
                <a:t>In the NZ it is agreed to use the model of concentration addition for mixture-toxicity calculations for long-term risk assessment for birds and mammals. Assessment will not be performed according to Step 3 in the EFSA (2009).</a:t>
              </a:r>
            </a:p>
            <a:p>
              <a:pPr algn="ctr"/>
              <a:r>
                <a:rPr lang="en-GB" sz="1100" b="0" i="0" u="none" strike="noStrike" baseline="0">
                  <a:solidFill>
                    <a:schemeClr val="dk1"/>
                  </a:solidFill>
                  <a:latin typeface="Arial" panose="020B0604020202020204" pitchFamily="34" charset="0"/>
                  <a:ea typeface="+mn-ea"/>
                  <a:cs typeface="Arial" panose="020B0604020202020204" pitchFamily="34" charset="0"/>
                </a:rPr>
                <a:t>Whether the risk for the product or an individual component is considered unacceptable or not, is indicated with the following colours:</a:t>
              </a:r>
            </a:p>
          </xdr:txBody>
        </xdr:sp>
        <xdr:sp macro="" textlink="">
          <xdr:nvSpPr>
            <xdr:cNvPr id="11" name="TextBox 10">
              <a:extLst>
                <a:ext uri="{FF2B5EF4-FFF2-40B4-BE49-F238E27FC236}">
                  <a16:creationId xmlns:a16="http://schemas.microsoft.com/office/drawing/2014/main" id="{4A1910B4-CF9E-4A98-8904-F429B8DEC4B0}"/>
                </a:ext>
              </a:extLst>
            </xdr:cNvPr>
            <xdr:cNvSpPr txBox="1"/>
          </xdr:nvSpPr>
          <xdr:spPr>
            <a:xfrm>
              <a:off x="800142" y="11379240"/>
              <a:ext cx="4335253" cy="470579"/>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No unacceptable risk.</a:t>
              </a:r>
              <a:endParaRPr lang="fi-FI" sz="1000">
                <a:solidFill>
                  <a:schemeClr val="accent6">
                    <a:lumMod val="50000"/>
                  </a:schemeClr>
                </a:solidFill>
                <a:effectLst/>
                <a:latin typeface="Arial" panose="020B0604020202020204" pitchFamily="34" charset="0"/>
                <a:cs typeface="Arial" panose="020B0604020202020204" pitchFamily="34" charset="0"/>
              </a:endParaRPr>
            </a:p>
            <a:p>
              <a:pPr algn="ct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HI</a:t>
              </a:r>
              <a:r>
                <a:rPr lang="en-GB" sz="1100" b="0" i="0" baseline="-25000">
                  <a:solidFill>
                    <a:schemeClr val="accent6">
                      <a:lumMod val="50000"/>
                    </a:schemeClr>
                  </a:solidFill>
                  <a:effectLst/>
                  <a:latin typeface="Arial" panose="020B0604020202020204" pitchFamily="34" charset="0"/>
                  <a:ea typeface="+mn-ea"/>
                  <a:cs typeface="Arial" panose="020B0604020202020204" pitchFamily="34" charset="0"/>
                </a:rPr>
                <a:t>SUM </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&lt; 1 or TER</a:t>
              </a:r>
              <a:r>
                <a:rPr lang="en-GB" sz="1100" b="0" i="0" baseline="-25000">
                  <a:solidFill>
                    <a:schemeClr val="accent6">
                      <a:lumMod val="50000"/>
                    </a:schemeClr>
                  </a:solidFill>
                  <a:effectLst/>
                  <a:latin typeface="Arial" panose="020B0604020202020204" pitchFamily="34" charset="0"/>
                  <a:ea typeface="+mn-ea"/>
                  <a:cs typeface="Arial" panose="020B0604020202020204" pitchFamily="34" charset="0"/>
                </a:rPr>
                <a:t>LT</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&gt; 5</a:t>
              </a:r>
              <a:endParaRPr lang="fi-FI" sz="1000">
                <a:solidFill>
                  <a:schemeClr val="accent6">
                    <a:lumMod val="50000"/>
                  </a:schemeClr>
                </a:solidFill>
                <a:effectLst/>
                <a:latin typeface="Arial" panose="020B0604020202020204" pitchFamily="34" charset="0"/>
                <a:cs typeface="Arial" panose="020B0604020202020204" pitchFamily="34" charset="0"/>
              </a:endParaRPr>
            </a:p>
          </xdr:txBody>
        </xdr:sp>
      </xdr:grpSp>
      <xdr:sp macro="" textlink="">
        <xdr:nvSpPr>
          <xdr:cNvPr id="9" name="TextBox 8">
            <a:extLst>
              <a:ext uri="{FF2B5EF4-FFF2-40B4-BE49-F238E27FC236}">
                <a16:creationId xmlns:a16="http://schemas.microsoft.com/office/drawing/2014/main" id="{F9D528C9-1672-4D00-A3C0-EF5AA309F957}"/>
              </a:ext>
            </a:extLst>
          </xdr:cNvPr>
          <xdr:cNvSpPr txBox="1"/>
        </xdr:nvSpPr>
        <xdr:spPr>
          <a:xfrm>
            <a:off x="5135396" y="11379237"/>
            <a:ext cx="4267307" cy="470581"/>
          </a:xfrm>
          <a:prstGeom prst="rect">
            <a:avLst/>
          </a:prstGeom>
          <a:solidFill>
            <a:srgbClr val="FFAFA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100" b="0" i="0" baseline="0">
                <a:solidFill>
                  <a:srgbClr val="A80000"/>
                </a:solidFill>
                <a:effectLst/>
                <a:latin typeface="Arial" panose="020B0604020202020204" pitchFamily="34" charset="0"/>
                <a:ea typeface="+mn-ea"/>
                <a:cs typeface="Arial" panose="020B0604020202020204" pitchFamily="34" charset="0"/>
              </a:rPr>
              <a:t>Unacceptable risk.</a:t>
            </a:r>
            <a:endParaRPr lang="fi-FI" sz="1000">
              <a:solidFill>
                <a:srgbClr val="A80000"/>
              </a:solidFill>
              <a:effectLst/>
              <a:latin typeface="Arial" panose="020B0604020202020204" pitchFamily="34" charset="0"/>
              <a:cs typeface="Arial" panose="020B0604020202020204" pitchFamily="34" charset="0"/>
            </a:endParaRPr>
          </a:p>
          <a:p>
            <a:pPr algn="ctr"/>
            <a:r>
              <a:rPr lang="en-GB" sz="1100" b="0" i="0" baseline="0">
                <a:solidFill>
                  <a:srgbClr val="A80000"/>
                </a:solidFill>
                <a:effectLst/>
                <a:latin typeface="Arial" panose="020B0604020202020204" pitchFamily="34" charset="0"/>
                <a:ea typeface="+mn-ea"/>
                <a:cs typeface="Arial" panose="020B0604020202020204" pitchFamily="34" charset="0"/>
              </a:rPr>
              <a:t>HI</a:t>
            </a:r>
            <a:r>
              <a:rPr lang="en-GB" sz="1100" b="0" i="0" baseline="-25000">
                <a:solidFill>
                  <a:srgbClr val="A80000"/>
                </a:solidFill>
                <a:effectLst/>
                <a:latin typeface="Arial" panose="020B0604020202020204" pitchFamily="34" charset="0"/>
                <a:ea typeface="+mn-ea"/>
                <a:cs typeface="Arial" panose="020B0604020202020204" pitchFamily="34" charset="0"/>
              </a:rPr>
              <a:t>SUM</a:t>
            </a:r>
            <a:r>
              <a:rPr lang="en-GB" sz="1100" b="0" i="0" baseline="0">
                <a:solidFill>
                  <a:srgbClr val="A80000"/>
                </a:solidFill>
                <a:effectLst/>
                <a:latin typeface="Arial" panose="020B0604020202020204" pitchFamily="34" charset="0"/>
                <a:ea typeface="+mn-ea"/>
                <a:cs typeface="Arial" panose="020B0604020202020204" pitchFamily="34" charset="0"/>
              </a:rPr>
              <a:t> ≥ 1 or TER</a:t>
            </a:r>
            <a:r>
              <a:rPr lang="en-GB" sz="1100" b="0" i="0" baseline="-25000">
                <a:solidFill>
                  <a:srgbClr val="A80000"/>
                </a:solidFill>
                <a:effectLst/>
                <a:latin typeface="Arial" panose="020B0604020202020204" pitchFamily="34" charset="0"/>
                <a:ea typeface="+mn-ea"/>
                <a:cs typeface="Arial" panose="020B0604020202020204" pitchFamily="34" charset="0"/>
              </a:rPr>
              <a:t>LT</a:t>
            </a:r>
            <a:r>
              <a:rPr lang="en-GB" sz="1100" b="0" i="0" baseline="0">
                <a:solidFill>
                  <a:srgbClr val="A80000"/>
                </a:solidFill>
                <a:effectLst/>
                <a:latin typeface="Arial" panose="020B0604020202020204" pitchFamily="34" charset="0"/>
                <a:ea typeface="+mn-ea"/>
                <a:cs typeface="Arial" panose="020B0604020202020204" pitchFamily="34" charset="0"/>
              </a:rPr>
              <a:t> ≤ 5</a:t>
            </a:r>
            <a:endParaRPr lang="fi-FI" sz="1000">
              <a:solidFill>
                <a:srgbClr val="A80000"/>
              </a:solidFill>
              <a:effectLst/>
              <a:latin typeface="Arial" panose="020B0604020202020204" pitchFamily="34" charset="0"/>
              <a:cs typeface="Arial" panose="020B0604020202020204" pitchFamily="34" charset="0"/>
            </a:endParaRPr>
          </a:p>
        </xdr:txBody>
      </xdr:sp>
    </xdr:grpSp>
    <xdr:clientData/>
  </xdr:twoCellAnchor>
  <xdr:twoCellAnchor>
    <xdr:from>
      <xdr:col>1</xdr:col>
      <xdr:colOff>0</xdr:colOff>
      <xdr:row>262</xdr:row>
      <xdr:rowOff>0</xdr:rowOff>
    </xdr:from>
    <xdr:to>
      <xdr:col>10</xdr:col>
      <xdr:colOff>616083</xdr:colOff>
      <xdr:row>273</xdr:row>
      <xdr:rowOff>129109</xdr:rowOff>
    </xdr:to>
    <xdr:sp macro="" textlink="">
      <xdr:nvSpPr>
        <xdr:cNvPr id="12" name="TextBox 11">
          <a:extLst>
            <a:ext uri="{FF2B5EF4-FFF2-40B4-BE49-F238E27FC236}">
              <a16:creationId xmlns:a16="http://schemas.microsoft.com/office/drawing/2014/main" id="{55B9C9F3-4B90-4AAD-B68B-5BDFD2A51F39}"/>
            </a:ext>
          </a:extLst>
        </xdr:cNvPr>
        <xdr:cNvSpPr txBox="1"/>
      </xdr:nvSpPr>
      <xdr:spPr>
        <a:xfrm>
          <a:off x="605118" y="17716500"/>
          <a:ext cx="9995406" cy="2224609"/>
        </a:xfrm>
        <a:prstGeom prst="rect">
          <a:avLst/>
        </a:prstGeom>
        <a:solidFill>
          <a:srgbClr val="ECEBE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6800" rtlCol="0" anchor="ctr"/>
        <a:lstStyle/>
        <a:p>
          <a:r>
            <a:rPr lang="en-GB" sz="1100" b="1">
              <a:solidFill>
                <a:schemeClr val="dk1"/>
              </a:solidFill>
              <a:effectLst/>
              <a:latin typeface="+mn-lt"/>
              <a:ea typeface="+mn-ea"/>
              <a:cs typeface="+mn-cs"/>
            </a:rPr>
            <a:t>Northern Zone Guidance Document (2021 version)*</a:t>
          </a:r>
          <a:br>
            <a:rPr lang="en-GB" sz="1100" b="1">
              <a:solidFill>
                <a:schemeClr val="dk1"/>
              </a:solidFill>
              <a:effectLst/>
              <a:latin typeface="+mn-lt"/>
              <a:ea typeface="+mn-ea"/>
              <a:cs typeface="+mn-cs"/>
            </a:rPr>
          </a:br>
          <a:r>
            <a:rPr lang="en-GB" sz="1100">
              <a:solidFill>
                <a:schemeClr val="dk1"/>
              </a:solidFill>
              <a:effectLst/>
              <a:latin typeface="+mn-lt"/>
              <a:ea typeface="+mn-ea"/>
              <a:cs typeface="+mn-cs"/>
            </a:rPr>
            <a:t>No refinements of the EFSA tier 1 assessment scenarios are accepted, except that MAF- and TWA-factors may be refined if adequate substance specific data on DT</a:t>
          </a:r>
          <a:r>
            <a:rPr lang="en-GB" sz="1100" baseline="-25000">
              <a:solidFill>
                <a:schemeClr val="dk1"/>
              </a:solidFill>
              <a:effectLst/>
              <a:latin typeface="+mn-lt"/>
              <a:ea typeface="+mn-ea"/>
              <a:cs typeface="+mn-cs"/>
            </a:rPr>
            <a:t>50</a:t>
          </a:r>
          <a:r>
            <a:rPr lang="en-GB" sz="1100">
              <a:solidFill>
                <a:schemeClr val="dk1"/>
              </a:solidFill>
              <a:effectLst/>
              <a:latin typeface="+mn-lt"/>
              <a:ea typeface="+mn-ea"/>
              <a:cs typeface="+mn-cs"/>
            </a:rPr>
            <a:t> in plants are available. Please refer to the Northern Zone Higher Tie guidance document, section 4.4 for requirements concerning refinement of DT</a:t>
          </a:r>
          <a:r>
            <a:rPr lang="en-GB" sz="1100" baseline="-25000">
              <a:solidFill>
                <a:schemeClr val="dk1"/>
              </a:solidFill>
              <a:effectLst/>
              <a:latin typeface="+mn-lt"/>
              <a:ea typeface="+mn-ea"/>
              <a:cs typeface="+mn-cs"/>
            </a:rPr>
            <a:t>50</a:t>
          </a:r>
          <a:r>
            <a:rPr lang="en-GB" sz="1100">
              <a:solidFill>
                <a:schemeClr val="dk1"/>
              </a:solidFill>
              <a:effectLst/>
              <a:latin typeface="+mn-lt"/>
              <a:ea typeface="+mn-ea"/>
              <a:cs typeface="+mn-cs"/>
            </a:rPr>
            <a:t>.</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When further refinements of the risk assessment are necessary, the Northern Zone higher tier guidance document describing relevant scenarios to be used in a higher tier risk assessment should be used together with the associated spreadsheet.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When a higher tier assessment is triggered, by any generic focal species at Tier 1 in a crop/growth stage scenario, the risk should be assessed for all NZ higher tier focal species relevant for that crop/growth stage scenario. All focal species required for the crop and growth stage in question according to the Northern Zone higher tier guidance document are relevant, even if the focal species were already assessed as generic focal species at tier 1. The main reason for this is that the tier 1 scenarios are not necessarily worst case with respect to diet in the Northern Zone, where some of the generic focal species are rare or missing and the niches of the remaining focal species may thus be broader. Higher tier TER calculations are however not required for generic focal species which passed the trigger by a factor of 2 or more at tier 1.</a:t>
          </a:r>
          <a:endParaRPr lang="fi-FI" sz="1100">
            <a:solidFill>
              <a:schemeClr val="dk1"/>
            </a:solidFill>
            <a:effectLst/>
            <a:latin typeface="+mn-lt"/>
            <a:ea typeface="+mn-ea"/>
            <a:cs typeface="+mn-cs"/>
          </a:endParaRPr>
        </a:p>
      </xdr:txBody>
    </xdr:sp>
    <xdr:clientData/>
  </xdr:twoCellAnchor>
  <xdr:twoCellAnchor>
    <xdr:from>
      <xdr:col>11</xdr:col>
      <xdr:colOff>228599</xdr:colOff>
      <xdr:row>3</xdr:row>
      <xdr:rowOff>57150</xdr:rowOff>
    </xdr:from>
    <xdr:to>
      <xdr:col>18</xdr:col>
      <xdr:colOff>9525</xdr:colOff>
      <xdr:row>15</xdr:row>
      <xdr:rowOff>180976</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833C8B79-48BB-456E-9B4A-8AF25C05EE62}"/>
                </a:ext>
              </a:extLst>
            </xdr:cNvPr>
            <xdr:cNvSpPr txBox="1"/>
          </xdr:nvSpPr>
          <xdr:spPr>
            <a:xfrm>
              <a:off x="11649074" y="666750"/>
              <a:ext cx="6248401" cy="2790826"/>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Northern Zone Guidance Document (2018):</a:t>
              </a:r>
            </a:p>
            <a:p>
              <a:r>
                <a:rPr lang="en-GB" sz="1100">
                  <a:latin typeface="Arial" panose="020B0604020202020204" pitchFamily="34" charset="0"/>
                  <a:cs typeface="Arial" panose="020B0604020202020204" pitchFamily="34" charset="0"/>
                </a:rPr>
                <a:t>It should be noted that mixture toxicity should always be considered also for long-term risk assessment for birds and mammals (though not recommended in the EFSA Guidance Document). The active substances can jointly contribute to the same adverse effects on non-target species or to different adverse effects which together cause higher toxicity.</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For areas where there is no EFSA guidance available for assessing cumulative risk, this risk should be calculated based on the model of concentration addition using the following equation:</a:t>
              </a:r>
            </a:p>
            <a:p>
              <a:endParaRPr lang="en-GB" sz="1100"/>
            </a:p>
            <a:p>
              <a:pPr/>
              <a14:m>
                <m:oMathPara xmlns:m="http://schemas.openxmlformats.org/officeDocument/2006/math">
                  <m:oMathParaPr>
                    <m:jc m:val="centerGroup"/>
                  </m:oMathParaPr>
                  <m:oMath xmlns:m="http://schemas.openxmlformats.org/officeDocument/2006/math">
                    <m:f>
                      <m:fPr>
                        <m:ctrlPr>
                          <a:rPr lang="fi-FI" sz="1100" b="0" i="1">
                            <a:latin typeface="Cambria Math" panose="02040503050406030204" pitchFamily="18" charset="0"/>
                          </a:rPr>
                        </m:ctrlPr>
                      </m:fPr>
                      <m:num>
                        <m:sSub>
                          <m:sSubPr>
                            <m:ctrlPr>
                              <a:rPr lang="fi-FI" sz="1100" b="0" i="1">
                                <a:latin typeface="Cambria Math" panose="02040503050406030204" pitchFamily="18" charset="0"/>
                              </a:rPr>
                            </m:ctrlPr>
                          </m:sSubPr>
                          <m:e>
                            <m:r>
                              <m:rPr>
                                <m:sty m:val="p"/>
                              </m:rPr>
                              <a:rPr lang="fi-FI" sz="1100" b="0" i="0">
                                <a:latin typeface="Cambria Math" panose="02040503050406030204" pitchFamily="18" charset="0"/>
                              </a:rPr>
                              <m:t>Trigger</m:t>
                            </m:r>
                          </m:e>
                          <m:sub>
                            <m:r>
                              <m:rPr>
                                <m:sty m:val="p"/>
                              </m:rPr>
                              <a:rPr lang="fi-FI" sz="1100" b="0" i="0">
                                <a:latin typeface="Cambria Math" panose="02040503050406030204" pitchFamily="18" charset="0"/>
                              </a:rPr>
                              <m:t>A</m:t>
                            </m:r>
                          </m:sub>
                        </m:sSub>
                        <m:r>
                          <a:rPr lang="fi-FI" sz="1100" b="0" i="0">
                            <a:latin typeface="Cambria Math" panose="02040503050406030204" pitchFamily="18" charset="0"/>
                          </a:rPr>
                          <m:t> </m:t>
                        </m:r>
                        <m:r>
                          <m:rPr>
                            <m:sty m:val="p"/>
                          </m:rPr>
                          <a:rPr lang="fi-FI" sz="1100" b="0" i="0">
                            <a:latin typeface="Cambria Math" panose="02040503050406030204" pitchFamily="18" charset="0"/>
                          </a:rPr>
                          <m:t>value</m:t>
                        </m:r>
                      </m:num>
                      <m:den>
                        <m:sSub>
                          <m:sSubPr>
                            <m:ctrlPr>
                              <a:rPr lang="fi-FI" sz="1100" b="0" i="1">
                                <a:latin typeface="Cambria Math" panose="02040503050406030204" pitchFamily="18" charset="0"/>
                              </a:rPr>
                            </m:ctrlPr>
                          </m:sSubPr>
                          <m:e>
                            <m:r>
                              <m:rPr>
                                <m:sty m:val="p"/>
                              </m:rPr>
                              <a:rPr lang="fi-FI" sz="1100" b="0" i="0">
                                <a:latin typeface="Cambria Math" panose="02040503050406030204" pitchFamily="18" charset="0"/>
                              </a:rPr>
                              <m:t>TER</m:t>
                            </m:r>
                          </m:e>
                          <m:sub>
                            <m:r>
                              <m:rPr>
                                <m:sty m:val="p"/>
                              </m:rPr>
                              <a:rPr lang="fi-FI" sz="1100" b="0" i="0">
                                <a:latin typeface="Cambria Math" panose="02040503050406030204" pitchFamily="18" charset="0"/>
                              </a:rPr>
                              <m:t>A</m:t>
                            </m:r>
                          </m:sub>
                        </m:sSub>
                      </m:den>
                    </m:f>
                    <m:r>
                      <a:rPr lang="fi-FI" sz="1100" b="0" i="0">
                        <a:latin typeface="Cambria Math" panose="02040503050406030204" pitchFamily="18" charset="0"/>
                      </a:rPr>
                      <m:t>+</m:t>
                    </m:r>
                    <m:f>
                      <m:fPr>
                        <m:ctrlPr>
                          <a:rPr lang="fi-FI" sz="1100" b="0" i="1">
                            <a:latin typeface="Cambria Math" panose="02040503050406030204" pitchFamily="18" charset="0"/>
                          </a:rPr>
                        </m:ctrlPr>
                      </m:fPr>
                      <m:num>
                        <m:sSub>
                          <m:sSubPr>
                            <m:ctrlPr>
                              <a:rPr lang="fi-FI" sz="1100" b="0" i="1">
                                <a:latin typeface="Cambria Math" panose="02040503050406030204" pitchFamily="18" charset="0"/>
                              </a:rPr>
                            </m:ctrlPr>
                          </m:sSubPr>
                          <m:e>
                            <m:r>
                              <m:rPr>
                                <m:sty m:val="p"/>
                              </m:rPr>
                              <a:rPr lang="fi-FI" sz="1100" b="0" i="0">
                                <a:latin typeface="Cambria Math" panose="02040503050406030204" pitchFamily="18" charset="0"/>
                              </a:rPr>
                              <m:t>Trigger</m:t>
                            </m:r>
                          </m:e>
                          <m:sub>
                            <m:r>
                              <m:rPr>
                                <m:sty m:val="p"/>
                              </m:rPr>
                              <a:rPr lang="fi-FI" sz="1100" b="0" i="0">
                                <a:latin typeface="Cambria Math" panose="02040503050406030204" pitchFamily="18" charset="0"/>
                              </a:rPr>
                              <m:t>B</m:t>
                            </m:r>
                          </m:sub>
                        </m:sSub>
                        <m:r>
                          <a:rPr lang="fi-FI" sz="1100" b="0" i="0">
                            <a:latin typeface="Cambria Math" panose="02040503050406030204" pitchFamily="18" charset="0"/>
                          </a:rPr>
                          <m:t> </m:t>
                        </m:r>
                        <m:r>
                          <m:rPr>
                            <m:sty m:val="p"/>
                          </m:rPr>
                          <a:rPr lang="fi-FI" sz="1100" b="0" i="0">
                            <a:latin typeface="Cambria Math" panose="02040503050406030204" pitchFamily="18" charset="0"/>
                          </a:rPr>
                          <m:t>value</m:t>
                        </m:r>
                      </m:num>
                      <m:den>
                        <m:sSub>
                          <m:sSubPr>
                            <m:ctrlPr>
                              <a:rPr lang="fi-FI" sz="1100" b="0" i="1">
                                <a:latin typeface="Cambria Math" panose="02040503050406030204" pitchFamily="18" charset="0"/>
                              </a:rPr>
                            </m:ctrlPr>
                          </m:sSubPr>
                          <m:e>
                            <m:r>
                              <m:rPr>
                                <m:sty m:val="p"/>
                              </m:rPr>
                              <a:rPr lang="fi-FI" sz="1100" b="0" i="0">
                                <a:latin typeface="Cambria Math" panose="02040503050406030204" pitchFamily="18" charset="0"/>
                              </a:rPr>
                              <m:t>TER</m:t>
                            </m:r>
                          </m:e>
                          <m:sub>
                            <m:r>
                              <m:rPr>
                                <m:sty m:val="p"/>
                              </m:rPr>
                              <a:rPr lang="fi-FI" sz="1100" b="0" i="0">
                                <a:latin typeface="Cambria Math" panose="02040503050406030204" pitchFamily="18" charset="0"/>
                              </a:rPr>
                              <m:t>B</m:t>
                            </m:r>
                          </m:sub>
                        </m:sSub>
                      </m:den>
                    </m:f>
                    <m:r>
                      <a:rPr lang="fi-FI" sz="1100" b="0" i="0">
                        <a:latin typeface="Cambria Math" panose="02040503050406030204" pitchFamily="18" charset="0"/>
                      </a:rPr>
                      <m:t>+ …=</m:t>
                    </m:r>
                    <m:r>
                      <m:rPr>
                        <m:sty m:val="p"/>
                      </m:rPr>
                      <a:rPr lang="fi-FI" sz="1100" b="0" i="0">
                        <a:latin typeface="Cambria Math" panose="02040503050406030204" pitchFamily="18" charset="0"/>
                      </a:rPr>
                      <m:t>HI</m:t>
                    </m:r>
                    <m:r>
                      <a:rPr lang="fi-FI" sz="1100" b="0" i="0">
                        <a:latin typeface="Cambria Math" panose="02040503050406030204" pitchFamily="18" charset="0"/>
                      </a:rPr>
                      <m:t> </m:t>
                    </m:r>
                    <m:r>
                      <m:rPr>
                        <m:sty m:val="p"/>
                      </m:rPr>
                      <a:rPr lang="fi-FI" sz="1100" b="0" i="0">
                        <a:latin typeface="Cambria Math" panose="02040503050406030204" pitchFamily="18" charset="0"/>
                      </a:rPr>
                      <m:t>SUM</m:t>
                    </m:r>
                  </m:oMath>
                </m:oMathPara>
              </a14:m>
              <a:endParaRPr lang="en-GB" sz="1100" i="0"/>
            </a:p>
            <a:p>
              <a:endParaRPr lang="en-GB" sz="1100" baseline="0">
                <a:latin typeface="Arial" panose="020B0604020202020204" pitchFamily="34" charset="0"/>
                <a:cs typeface="Arial" panose="020B0604020202020204" pitchFamily="34" charset="0"/>
              </a:endParaRPr>
            </a:p>
            <a:p>
              <a:r>
                <a:rPr lang="en-GB" sz="1050" b="1" baseline="0">
                  <a:latin typeface="Arial" panose="020B0604020202020204" pitchFamily="34" charset="0"/>
                  <a:cs typeface="Arial" panose="020B0604020202020204" pitchFamily="34" charset="0"/>
                </a:rPr>
                <a:t>TER</a:t>
              </a:r>
              <a:r>
                <a:rPr lang="en-GB" sz="1050" baseline="0">
                  <a:latin typeface="Arial" panose="020B0604020202020204" pitchFamily="34" charset="0"/>
                  <a:cs typeface="Arial" panose="020B0604020202020204" pitchFamily="34" charset="0"/>
                </a:rPr>
                <a:t> = DDD</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NOAEL</a:t>
              </a:r>
            </a:p>
            <a:p>
              <a:r>
                <a:rPr lang="en-GB" sz="1050" b="1" baseline="0">
                  <a:latin typeface="Arial" panose="020B0604020202020204" pitchFamily="34" charset="0"/>
                  <a:cs typeface="Arial" panose="020B0604020202020204" pitchFamily="34" charset="0"/>
                </a:rPr>
                <a:t>DDD</a:t>
              </a:r>
              <a:r>
                <a:rPr lang="en-GB" sz="1050" b="1"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SV</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Application rate (kg a.s./ha) * MAF</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TWA</a:t>
              </a:r>
              <a:endParaRPr lang="en-GB" sz="1100" baseline="0">
                <a:latin typeface="Arial" panose="020B0604020202020204" pitchFamily="34" charset="0"/>
                <a:cs typeface="Arial" panose="020B0604020202020204" pitchFamily="34" charset="0"/>
              </a:endParaRPr>
            </a:p>
            <a:p>
              <a:pPr algn="ctr"/>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If HI SUM</a:t>
              </a:r>
              <a:r>
                <a:rPr lang="en-GB" sz="1100" baseline="0">
                  <a:latin typeface="Arial" panose="020B0604020202020204" pitchFamily="34" charset="0"/>
                  <a:cs typeface="Arial" panose="020B0604020202020204" pitchFamily="34" charset="0"/>
                </a:rPr>
                <a:t> &lt; 1, no unacceptable risk is identified.</a:t>
              </a:r>
              <a:endParaRPr lang="en-GB" sz="1100" baseline="-25000">
                <a:latin typeface="Arial" panose="020B0604020202020204" pitchFamily="34" charset="0"/>
                <a:cs typeface="Arial" panose="020B0604020202020204" pitchFamily="34" charset="0"/>
              </a:endParaRPr>
            </a:p>
            <a:p>
              <a:pPr algn="l"/>
              <a:endParaRPr lang="en-GB" sz="1100" baseline="0">
                <a:latin typeface="Arial" panose="020B0604020202020204" pitchFamily="34" charset="0"/>
                <a:cs typeface="Arial" panose="020B0604020202020204" pitchFamily="34" charset="0"/>
              </a:endParaRPr>
            </a:p>
            <a:p>
              <a:pPr algn="l"/>
              <a:endParaRPr lang="en-GB" sz="1100" baseline="-25000">
                <a:latin typeface="Arial" panose="020B0604020202020204" pitchFamily="34" charset="0"/>
                <a:cs typeface="Arial" panose="020B0604020202020204" pitchFamily="34" charset="0"/>
              </a:endParaRPr>
            </a:p>
          </xdr:txBody>
        </xdr:sp>
      </mc:Choice>
      <mc:Fallback xmlns="">
        <xdr:sp macro="" textlink="">
          <xdr:nvSpPr>
            <xdr:cNvPr id="13" name="TextBox 12">
              <a:extLst>
                <a:ext uri="{FF2B5EF4-FFF2-40B4-BE49-F238E27FC236}">
                  <a16:creationId xmlns:a16="http://schemas.microsoft.com/office/drawing/2014/main" id="{833C8B79-48BB-456E-9B4A-8AF25C05EE62}"/>
                </a:ext>
              </a:extLst>
            </xdr:cNvPr>
            <xdr:cNvSpPr txBox="1"/>
          </xdr:nvSpPr>
          <xdr:spPr>
            <a:xfrm>
              <a:off x="11649074" y="666750"/>
              <a:ext cx="6248401" cy="2790826"/>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Northern Zone Guidance Document (2018):</a:t>
              </a:r>
            </a:p>
            <a:p>
              <a:r>
                <a:rPr lang="en-GB" sz="1100">
                  <a:latin typeface="Arial" panose="020B0604020202020204" pitchFamily="34" charset="0"/>
                  <a:cs typeface="Arial" panose="020B0604020202020204" pitchFamily="34" charset="0"/>
                </a:rPr>
                <a:t>It should be noted that mixture toxicity should always be considered also for long-term risk assessment for birds and mammals (though not recommended in the EFSA Guidance Document). The active substances can jointly contribute to the same adverse effects on non-target species or to different adverse effects which together cause higher toxicity.</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For areas where there is no EFSA guidance available for assessing cumulative risk, this risk should be calculated based on the model of concentration addition using the following equation:</a:t>
              </a:r>
            </a:p>
            <a:p>
              <a:endParaRPr lang="en-GB" sz="1100"/>
            </a:p>
            <a:p>
              <a:pPr/>
              <a:r>
                <a:rPr lang="fi-FI" sz="1100" b="0" i="0">
                  <a:latin typeface="Cambria Math" panose="02040503050406030204" pitchFamily="18" charset="0"/>
                </a:rPr>
                <a:t>(Trigger_A  value)/TER_A +(Trigger_B  value)/TER_B + …=HI SUM</a:t>
              </a:r>
              <a:endParaRPr lang="en-GB" sz="1100" i="0"/>
            </a:p>
            <a:p>
              <a:endParaRPr lang="en-GB" sz="1100" baseline="0">
                <a:latin typeface="Arial" panose="020B0604020202020204" pitchFamily="34" charset="0"/>
                <a:cs typeface="Arial" panose="020B0604020202020204" pitchFamily="34" charset="0"/>
              </a:endParaRPr>
            </a:p>
            <a:p>
              <a:r>
                <a:rPr lang="en-GB" sz="1050" b="1" baseline="0">
                  <a:latin typeface="Arial" panose="020B0604020202020204" pitchFamily="34" charset="0"/>
                  <a:cs typeface="Arial" panose="020B0604020202020204" pitchFamily="34" charset="0"/>
                </a:rPr>
                <a:t>TER</a:t>
              </a:r>
              <a:r>
                <a:rPr lang="en-GB" sz="1050" baseline="0">
                  <a:latin typeface="Arial" panose="020B0604020202020204" pitchFamily="34" charset="0"/>
                  <a:cs typeface="Arial" panose="020B0604020202020204" pitchFamily="34" charset="0"/>
                </a:rPr>
                <a:t> = DDD</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NOAEL</a:t>
              </a:r>
            </a:p>
            <a:p>
              <a:r>
                <a:rPr lang="en-GB" sz="1050" b="1" baseline="0">
                  <a:latin typeface="Arial" panose="020B0604020202020204" pitchFamily="34" charset="0"/>
                  <a:cs typeface="Arial" panose="020B0604020202020204" pitchFamily="34" charset="0"/>
                </a:rPr>
                <a:t>DDD</a:t>
              </a:r>
              <a:r>
                <a:rPr lang="en-GB" sz="1050" b="1"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SV</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Application rate (kg a.s./ha) * MAF</a:t>
              </a:r>
              <a:r>
                <a:rPr lang="en-GB" sz="1050" baseline="-25000">
                  <a:latin typeface="Arial" panose="020B0604020202020204" pitchFamily="34" charset="0"/>
                  <a:cs typeface="Arial" panose="020B0604020202020204" pitchFamily="34" charset="0"/>
                </a:rPr>
                <a:t>m</a:t>
              </a:r>
              <a:r>
                <a:rPr lang="en-GB" sz="1050" baseline="0">
                  <a:latin typeface="Arial" panose="020B0604020202020204" pitchFamily="34" charset="0"/>
                  <a:cs typeface="Arial" panose="020B0604020202020204" pitchFamily="34" charset="0"/>
                </a:rPr>
                <a:t> * TWA</a:t>
              </a:r>
              <a:endParaRPr lang="en-GB" sz="1100" baseline="0">
                <a:latin typeface="Arial" panose="020B0604020202020204" pitchFamily="34" charset="0"/>
                <a:cs typeface="Arial" panose="020B0604020202020204" pitchFamily="34" charset="0"/>
              </a:endParaRPr>
            </a:p>
            <a:p>
              <a:pPr algn="ctr"/>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If HI SUM</a:t>
              </a:r>
              <a:r>
                <a:rPr lang="en-GB" sz="1100" baseline="0">
                  <a:latin typeface="Arial" panose="020B0604020202020204" pitchFamily="34" charset="0"/>
                  <a:cs typeface="Arial" panose="020B0604020202020204" pitchFamily="34" charset="0"/>
                </a:rPr>
                <a:t> &lt; 1, no unacceptable risk is identified.</a:t>
              </a:r>
              <a:endParaRPr lang="en-GB" sz="1100" baseline="-25000">
                <a:latin typeface="Arial" panose="020B0604020202020204" pitchFamily="34" charset="0"/>
                <a:cs typeface="Arial" panose="020B0604020202020204" pitchFamily="34" charset="0"/>
              </a:endParaRPr>
            </a:p>
            <a:p>
              <a:pPr algn="l"/>
              <a:endParaRPr lang="en-GB" sz="1100" baseline="0">
                <a:latin typeface="Arial" panose="020B0604020202020204" pitchFamily="34" charset="0"/>
                <a:cs typeface="Arial" panose="020B0604020202020204" pitchFamily="34" charset="0"/>
              </a:endParaRPr>
            </a:p>
            <a:p>
              <a:pPr algn="l"/>
              <a:endParaRPr lang="en-GB" sz="1100" baseline="-25000">
                <a:latin typeface="Arial" panose="020B0604020202020204" pitchFamily="34" charset="0"/>
                <a:cs typeface="Arial" panose="020B0604020202020204" pitchFamily="34" charset="0"/>
              </a:endParaRPr>
            </a:p>
          </xdr:txBody>
        </xdr:sp>
      </mc:Fallback>
    </mc:AlternateContent>
    <xdr:clientData/>
  </xdr:twoCellAnchor>
  <xdr:twoCellAnchor>
    <xdr:from>
      <xdr:col>11</xdr:col>
      <xdr:colOff>219075</xdr:colOff>
      <xdr:row>16</xdr:row>
      <xdr:rowOff>66675</xdr:rowOff>
    </xdr:from>
    <xdr:to>
      <xdr:col>18</xdr:col>
      <xdr:colOff>0</xdr:colOff>
      <xdr:row>21</xdr:row>
      <xdr:rowOff>108696</xdr:rowOff>
    </xdr:to>
    <xdr:sp macro="" textlink="">
      <xdr:nvSpPr>
        <xdr:cNvPr id="14" name="TextBox 13">
          <a:extLst>
            <a:ext uri="{FF2B5EF4-FFF2-40B4-BE49-F238E27FC236}">
              <a16:creationId xmlns:a16="http://schemas.microsoft.com/office/drawing/2014/main" id="{32D8B976-01DF-433E-91BE-D2451F166AF4}"/>
            </a:ext>
          </a:extLst>
        </xdr:cNvPr>
        <xdr:cNvSpPr txBox="1"/>
      </xdr:nvSpPr>
      <xdr:spPr>
        <a:xfrm>
          <a:off x="11639550" y="3533775"/>
          <a:ext cx="6248400" cy="994521"/>
        </a:xfrm>
        <a:prstGeom prst="rect">
          <a:avLst/>
        </a:prstGeom>
        <a:solidFill>
          <a:srgbClr val="F3F2E7"/>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latin typeface="Arial" panose="020B0604020202020204" pitchFamily="34" charset="0"/>
              <a:cs typeface="Arial" panose="020B0604020202020204" pitchFamily="34" charset="0"/>
            </a:rPr>
            <a:t>If measured formulation endpoint is used instead, the product TER</a:t>
          </a:r>
          <a:r>
            <a:rPr lang="en-GB" sz="1100" baseline="-25000">
              <a:latin typeface="Arial" panose="020B0604020202020204" pitchFamily="34" charset="0"/>
              <a:cs typeface="Arial" panose="020B0604020202020204" pitchFamily="34" charset="0"/>
            </a:rPr>
            <a:t>LT</a:t>
          </a:r>
          <a:r>
            <a:rPr lang="en-GB" sz="1100" baseline="0">
              <a:latin typeface="Arial" panose="020B0604020202020204" pitchFamily="34" charset="0"/>
              <a:cs typeface="Arial" panose="020B0604020202020204" pitchFamily="34" charset="0"/>
            </a:rPr>
            <a:t> is calculated as </a:t>
          </a:r>
        </a:p>
        <a:p>
          <a:pPr algn="ctr"/>
          <a:endParaRPr lang="en-GB" sz="1100" baseline="0">
            <a:latin typeface="Arial" panose="020B0604020202020204" pitchFamily="34" charset="0"/>
            <a:cs typeface="Arial" panose="020B0604020202020204" pitchFamily="34" charset="0"/>
          </a:endParaRPr>
        </a:p>
        <a:p>
          <a:pPr algn="ctr"/>
          <a:r>
            <a:rPr lang="en-GB" sz="1100" baseline="0">
              <a:latin typeface="Arial" panose="020B0604020202020204" pitchFamily="34" charset="0"/>
              <a:cs typeface="Arial" panose="020B0604020202020204" pitchFamily="34" charset="0"/>
            </a:rPr>
            <a:t>NOAEL / C</a:t>
          </a:r>
          <a:r>
            <a:rPr lang="en-GB" sz="1100" baseline="-25000">
              <a:latin typeface="Arial" panose="020B0604020202020204" pitchFamily="34" charset="0"/>
              <a:cs typeface="Arial" panose="020B0604020202020204" pitchFamily="34" charset="0"/>
            </a:rPr>
            <a:t>(mix)</a:t>
          </a:r>
        </a:p>
        <a:p>
          <a:pPr algn="l"/>
          <a:endParaRPr lang="en-GB" sz="1100" baseline="0">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000" b="1" baseline="0">
              <a:latin typeface="Arial" panose="020B0604020202020204" pitchFamily="34" charset="0"/>
              <a:cs typeface="Arial" panose="020B0604020202020204" pitchFamily="34" charset="0"/>
            </a:rPr>
            <a:t>C</a:t>
          </a:r>
          <a:r>
            <a:rPr lang="en-GB" sz="1000" b="1" baseline="-25000">
              <a:latin typeface="Arial" panose="020B0604020202020204" pitchFamily="34" charset="0"/>
              <a:cs typeface="Arial" panose="020B0604020202020204" pitchFamily="34" charset="0"/>
            </a:rPr>
            <a:t>(mix)</a:t>
          </a:r>
          <a:r>
            <a:rPr lang="en-GB" sz="1000" b="1" baseline="0">
              <a:latin typeface="Arial" panose="020B0604020202020204" pitchFamily="34" charset="0"/>
              <a:cs typeface="Arial" panose="020B0604020202020204" pitchFamily="34" charset="0"/>
            </a:rPr>
            <a:t> </a:t>
          </a:r>
          <a:r>
            <a:rPr lang="en-GB" sz="1000" baseline="0">
              <a:latin typeface="Arial" panose="020B0604020202020204" pitchFamily="34" charset="0"/>
              <a:cs typeface="Arial" panose="020B0604020202020204" pitchFamily="34" charset="0"/>
            </a:rPr>
            <a:t>= </a:t>
          </a:r>
          <a:r>
            <a:rPr lang="en-GB" sz="1000" baseline="0">
              <a:solidFill>
                <a:schemeClr val="dk1"/>
              </a:solidFill>
              <a:effectLst/>
              <a:latin typeface="Arial" panose="020B0604020202020204" pitchFamily="34" charset="0"/>
              <a:ea typeface="+mn-ea"/>
              <a:cs typeface="Arial" panose="020B0604020202020204" pitchFamily="34" charset="0"/>
            </a:rPr>
            <a:t>SV</a:t>
          </a:r>
          <a:r>
            <a:rPr lang="en-GB" sz="1000" baseline="-25000">
              <a:solidFill>
                <a:schemeClr val="dk1"/>
              </a:solidFill>
              <a:effectLst/>
              <a:latin typeface="Arial" panose="020B0604020202020204" pitchFamily="34" charset="0"/>
              <a:ea typeface="+mn-ea"/>
              <a:cs typeface="Arial" panose="020B0604020202020204" pitchFamily="34" charset="0"/>
            </a:rPr>
            <a:t>m</a:t>
          </a:r>
          <a:r>
            <a:rPr lang="en-GB" sz="1000" baseline="0">
              <a:solidFill>
                <a:schemeClr val="dk1"/>
              </a:solidFill>
              <a:effectLst/>
              <a:latin typeface="Arial" panose="020B0604020202020204" pitchFamily="34" charset="0"/>
              <a:ea typeface="+mn-ea"/>
              <a:cs typeface="Arial" panose="020B0604020202020204" pitchFamily="34" charset="0"/>
            </a:rPr>
            <a:t> * Application rate (∑ kg a.s.</a:t>
          </a:r>
          <a:r>
            <a:rPr lang="en-GB" sz="1000" baseline="-25000">
              <a:solidFill>
                <a:schemeClr val="dk1"/>
              </a:solidFill>
              <a:effectLst/>
              <a:latin typeface="Arial" panose="020B0604020202020204" pitchFamily="34" charset="0"/>
              <a:ea typeface="+mn-ea"/>
              <a:cs typeface="Arial" panose="020B0604020202020204" pitchFamily="34" charset="0"/>
            </a:rPr>
            <a:t>[i]</a:t>
          </a:r>
          <a:r>
            <a:rPr lang="en-GB" sz="1000" baseline="0">
              <a:solidFill>
                <a:schemeClr val="dk1"/>
              </a:solidFill>
              <a:effectLst/>
              <a:latin typeface="Arial" panose="020B0604020202020204" pitchFamily="34" charset="0"/>
              <a:ea typeface="+mn-ea"/>
              <a:cs typeface="Arial" panose="020B0604020202020204" pitchFamily="34" charset="0"/>
            </a:rPr>
            <a:t>/ha) * MAF</a:t>
          </a:r>
          <a:r>
            <a:rPr lang="en-GB" sz="1000" baseline="-25000">
              <a:solidFill>
                <a:schemeClr val="dk1"/>
              </a:solidFill>
              <a:effectLst/>
              <a:latin typeface="Arial" panose="020B0604020202020204" pitchFamily="34" charset="0"/>
              <a:ea typeface="+mn-ea"/>
              <a:cs typeface="Arial" panose="020B0604020202020204" pitchFamily="34" charset="0"/>
            </a:rPr>
            <a:t>m</a:t>
          </a:r>
          <a:r>
            <a:rPr lang="en-GB" sz="1000" baseline="0">
              <a:solidFill>
                <a:schemeClr val="dk1"/>
              </a:solidFill>
              <a:effectLst/>
              <a:latin typeface="Arial" panose="020B0604020202020204" pitchFamily="34" charset="0"/>
              <a:ea typeface="+mn-ea"/>
              <a:cs typeface="Arial" panose="020B0604020202020204" pitchFamily="34" charset="0"/>
            </a:rPr>
            <a:t> * TWA</a:t>
          </a:r>
          <a:endParaRPr lang="fi-FI" sz="1000">
            <a:effectLst/>
            <a:latin typeface="Arial" panose="020B0604020202020204" pitchFamily="34" charset="0"/>
            <a:cs typeface="Arial" panose="020B0604020202020204" pitchFamily="34" charset="0"/>
          </a:endParaRPr>
        </a:p>
        <a:p>
          <a:pPr algn="l"/>
          <a:endParaRPr lang="en-GB" sz="1100" baseline="-25000">
            <a:latin typeface="Arial" panose="020B0604020202020204" pitchFamily="34" charset="0"/>
            <a:cs typeface="Arial" panose="020B0604020202020204" pitchFamily="34" charset="0"/>
          </a:endParaRPr>
        </a:p>
        <a:p>
          <a:pPr algn="l"/>
          <a:endParaRPr lang="en-GB" sz="1100" baseline="0">
            <a:latin typeface="Arial" panose="020B0604020202020204" pitchFamily="34" charset="0"/>
            <a:cs typeface="Arial" panose="020B0604020202020204" pitchFamily="34" charset="0"/>
          </a:endParaRPr>
        </a:p>
        <a:p>
          <a:pPr algn="l"/>
          <a:endParaRPr lang="en-GB" sz="1100" baseline="-25000">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1" xr10:uid="{66C8B81C-DC9C-4C86-9891-0A1FDB24AD18}" sourceName="Crop">
  <extLst>
    <x:ext xmlns:x15="http://schemas.microsoft.com/office/spreadsheetml/2010/11/main" uri="{2F2917AC-EB37-4324-AD4E-5DD8C200BD13}">
      <x15:tableSlicerCache tableId="5"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BCH_Scenario1" xr10:uid="{BD203440-40A1-416E-827E-D1C4E5C9AE29}" sourceName="BBCH Scenario">
  <extLst>
    <x:ext xmlns:x15="http://schemas.microsoft.com/office/spreadsheetml/2010/11/main" uri="{2F2917AC-EB37-4324-AD4E-5DD8C200BD13}">
      <x15:tableSlicerCache tableId="5"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levance2" xr10:uid="{F36BE7DE-BF32-426B-ABDE-6885259B4F15}" sourceName="Relevance">
  <extLst>
    <x:ext xmlns:x15="http://schemas.microsoft.com/office/spreadsheetml/2010/11/main" uri="{2F2917AC-EB37-4324-AD4E-5DD8C200BD13}">
      <x15:tableSlicerCache tableId="5"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BCH_Scenario" xr10:uid="{82F5B52F-BAC1-4100-AE3E-24D0058A88D4}" sourceName="BBCH Scenario">
  <extLst>
    <x:ext xmlns:x15="http://schemas.microsoft.com/office/spreadsheetml/2010/11/main" uri="{2F2917AC-EB37-4324-AD4E-5DD8C200BD13}">
      <x15:tableSlicerCache tableId="4" column="3"/>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 xr10:uid="{8C01D3BD-5C6C-489A-B711-09203FCF294E}" sourceName="Crop">
  <extLst>
    <x:ext xmlns:x15="http://schemas.microsoft.com/office/spreadsheetml/2010/11/main" uri="{2F2917AC-EB37-4324-AD4E-5DD8C200BD13}">
      <x15:tableSlicerCache tableId="4" column="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3" xr10:uid="{A00F9382-676F-4451-ACD9-9FE3BA623995}" sourceName="Crop">
  <extLst>
    <x:ext xmlns:x15="http://schemas.microsoft.com/office/spreadsheetml/2010/11/main" uri="{2F2917AC-EB37-4324-AD4E-5DD8C200BD13}">
      <x15:tableSlicerCache tableId="11" column="1"/>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BCH_Scenario3" xr10:uid="{9E382215-D01D-4D69-ADAF-B615839FD09E}" sourceName="BBCH Scenario">
  <extLst>
    <x:ext xmlns:x15="http://schemas.microsoft.com/office/spreadsheetml/2010/11/main" uri="{2F2917AC-EB37-4324-AD4E-5DD8C200BD13}">
      <x15:tableSlicerCache tableId="11" column="3"/>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2" xr10:uid="{FAE374BD-1A2C-4364-98F4-0C5201E36476}" sourceName="M">
  <extLst>
    <x:ext xmlns:x15="http://schemas.microsoft.com/office/spreadsheetml/2010/11/main" uri="{2F2917AC-EB37-4324-AD4E-5DD8C200BD13}">
      <x15:tableSlicerCache tableId="11" column="13" crossFilter="show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1" xr10:uid="{BD99AE27-35EE-4126-8175-B40E73EE1A6E}" sourceName="M">
  <extLst>
    <x:ext xmlns:x15="http://schemas.microsoft.com/office/spreadsheetml/2010/11/main" uri="{2F2917AC-EB37-4324-AD4E-5DD8C200BD13}">
      <x15:tableSlicerCache tableId="4" column="13" crossFilter="show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12" xr10:uid="{74E336A0-AC78-44D6-A12B-409D244E3DCA}" sourceName="Crop">
  <extLst>
    <x:ext xmlns:x15="http://schemas.microsoft.com/office/spreadsheetml/2010/11/main" uri="{2F2917AC-EB37-4324-AD4E-5DD8C200BD13}">
      <x15:tableSlicerCache tableId="6" column="1"/>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BCH_Scenario12" xr10:uid="{A6E6975D-591D-41C8-9BEF-A951D9533BF5}" sourceName="BBCH Scenario">
  <extLst>
    <x:ext xmlns:x15="http://schemas.microsoft.com/office/spreadsheetml/2010/11/main" uri="{2F2917AC-EB37-4324-AD4E-5DD8C200BD13}">
      <x15:tableSlicerCache tableId="6" column="3"/>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levance22" xr10:uid="{D2E81D7F-A7A8-46CC-A7A6-514CE410E458}" sourceName="Relevance">
  <extLst>
    <x:ext xmlns:x15="http://schemas.microsoft.com/office/spreadsheetml/2010/11/main" uri="{2F2917AC-EB37-4324-AD4E-5DD8C200BD13}">
      <x15:tableSlicerCache tableId="6"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BCH Scenario" xr10:uid="{CE65DC53-47F5-4E9E-AFBC-F4EFAC9E4A17}" cache="Slicer_BBCH_Scenario" caption=" BBCH Scenarios" style="SlicerStyleLight4 2" rowHeight="241300"/>
  <slicer name="Crop" xr10:uid="{0BD0E9E3-66E8-4222-A9E1-CDEAB63A4863}" cache="Slicer_Crop" caption=" Crop scenarios" columnCount="2" style="SlicerStyleLight4 2" rowHeight="241300"/>
  <slicer name="M 1" xr10:uid="{E9133D31-394F-4CF2-9B52-815FC9CB1F5E}" cache="Slicer_M1" caption="Input" style="SlicerStyleLight4 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1" xr10:uid="{7C77223C-82D0-4552-8332-1AE3A4CD688F}" cache="Slicer_Crop1" caption="Crop scenarios" columnCount="2" style="SlicerStyleLight4 2" rowHeight="216000"/>
  <slicer name="BBCH Scenario 1" xr10:uid="{6071299B-161D-41A2-815D-A33D1440C73C}" cache="Slicer_BBCH_Scenario1" caption="BBCH scenarios" startItem="26" style="SlicerStyleLight4 2" rowHeight="241300"/>
  <slicer name="Relevance 2" xr10:uid="{CAB56403-EB5E-44B9-8739-D9769306E632}" cache="Slicer_Relevance2" caption="Input" style="SlicerStyleLight4 2"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4" xr10:uid="{0D652B57-BFC6-44B4-976A-7B820DB61047}" cache="Slicer_Crop3" caption="Crop" columnCount="2" style="SlicerStyleLight4 2" rowHeight="241300"/>
  <slicer name="BBCH Scenario 4" xr10:uid="{5E19589B-802A-4C7A-B7D7-2F8D75B8EB8A}" cache="Slicer_BBCH_Scenario3" caption="BBCH Scenario" startItem="13" style="SlicerStyleLight4 2" rowHeight="241300"/>
  <slicer name="M_AC_T1" xr10:uid="{18171E73-395E-4EC8-B2C4-04081CFB16EB}" cache="Slicer_M2" caption="Input" style="SlicerStyleLight4 2"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2" xr10:uid="{1EF9058C-F454-45CE-9A28-17F271496EFE}" cache="Slicer_Crop12" caption="Crop scenarios" columnCount="2" style="SlicerStyleLight4 2" rowHeight="216000"/>
  <slicer name="BBCH Scenario 2" xr10:uid="{3E006028-EE63-4716-AB23-8E507DB10A4E}" cache="Slicer_BBCH_Scenario12" caption="BBCH scenarios" style="SlicerStyleLight4 2" rowHeight="241300"/>
  <slicer name="Relevance 4" xr10:uid="{7EAACCBA-BA24-41D9-BA6A-39ED87052BC6}" cache="Slicer_Relevance22" caption="Input" style="SlicerStyleLight4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6E19AF-A1D7-4E4A-B743-971AD999614C}" name="Table4" displayName="Table4" ref="C62:J190" totalsRowShown="0" headerRowDxfId="194" dataDxfId="193">
  <autoFilter ref="C62:J190" xr:uid="{D0139D9E-4C80-4E01-8693-2C344CC9B47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90E5E12-9FD7-4F62-A91C-E98D87F06F6C}" name="Crop" dataDxfId="192"/>
    <tableColumn id="3" xr3:uid="{E3050E43-0115-435E-9CF6-8395AAA7DC92}" name="BBCH Scenario" dataDxfId="191"/>
    <tableColumn id="4" xr3:uid="{FC7590A9-EEF5-4726-B566-2011A9B8CFD1}" name="Generic focal species" dataDxfId="190"/>
    <tableColumn id="5" xr3:uid="{F3FD85E0-D737-457B-B64C-64F67FFC9C62}" name="Representative species" dataDxfId="189"/>
    <tableColumn id="6" xr3:uid="{34ECE788-B488-41BC-827F-F6C6D5880BDD}" name="SV90" dataDxfId="188"/>
    <tableColumn id="10" xr3:uid="{C0B5161E-40B7-46B3-82FB-D710CDDA9F09}" name="DDD90 (mg/kg bw/d)" dataDxfId="187">
      <calculatedColumnFormula>IF(AND(ISNUMBER(HLOOKUP(Table4[[#This Row],[Crop]],Input_Scenario,10,FALSE)),ISNUMBER(HLOOKUP(Table4[[#This Row],[Crop]],Input_Scenario,5,FALSE))),Table4[[#This Row],[SV90]]*HLOOKUP(Table4[[#This Row],[Crop]],Input_Scenario,10,FALSE)*HLOOKUP(Table4[[#This Row],[Crop]],Input_Scenario,5,FALSE),"")</calculatedColumnFormula>
    </tableColumn>
    <tableColumn id="11" xr3:uid="{DEE0D491-4FED-472F-9C6D-88F45F2A3BEF}" name="TERmix" dataDxfId="186">
      <calculatedColumnFormula>IF(AND(ISNUMBER($D$12),ISNUMBER(Table4[[#This Row],[DDD90 (mg/kg bw/d)]])),$D$48/Table4[[#This Row],[DDD90 (mg/kg bw/d)]],"")</calculatedColumnFormula>
    </tableColumn>
    <tableColumn id="13" xr3:uid="{15282AAC-AA8B-481A-9DFB-93B1A30FFA49}" name="M" dataDxfId="185">
      <calculatedColumnFormula>IF(ISNUMBER(Table4[[#This Row],[TERmix]]),"Input provided","No input")</calculatedColumnFormula>
    </tableColumn>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7412F5-1BCA-44C7-ADD3-2B064CE2929D}" name="Bird_Chronic" displayName="Bird_Chronic" ref="B31:F159" totalsRowShown="0" headerRowDxfId="159" dataDxfId="158">
  <autoFilter ref="B31:F159" xr:uid="{0EEEC092-845B-4865-A3A5-3535D98FE298}"/>
  <tableColumns count="5">
    <tableColumn id="2" xr3:uid="{F3DE1B47-ECF3-4313-920B-BFA9C4450374}" name="Relevance" dataDxfId="157">
      <calculatedColumnFormula>IF(AND($B$3="Active",ISNUMBER(I32)),"Input provided","No input")</calculatedColumnFormula>
    </tableColumn>
    <tableColumn id="1" xr3:uid="{B5B6D641-E1E1-402B-8BF8-E31006694FF4}" name="Crop" dataDxfId="156"/>
    <tableColumn id="3" xr3:uid="{CB653151-3D2B-4C88-AE9C-D3294C6449F3}" name="BBCH Scenario" dataDxfId="155"/>
    <tableColumn id="4" xr3:uid="{BA915598-EB9F-4D92-B8E1-48412DEAFFEA}" name="Generic focal species" dataDxfId="154"/>
    <tableColumn id="5" xr3:uid="{6C64CC9E-4E81-45D4-9008-8214040AE846}" name="SVm" dataDxfId="153"/>
  </tableColumns>
  <tableStyleInfo name="Table Style 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C9C8FBC-DC42-4518-8512-76FAD66C49D2}" name="Table412" displayName="Table412" ref="C62:J214" totalsRowShown="0" headerRowDxfId="141" dataDxfId="140">
  <autoFilter ref="C62:J214" xr:uid="{D0139D9E-4C80-4E01-8693-2C344CC9B47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335D2DE-19C0-43AC-93A1-CAF5EB260472}" name="Crop" dataDxfId="139"/>
    <tableColumn id="3" xr3:uid="{3F6A4EA3-63C7-4F9F-95EE-9A734DFA3C22}" name="BBCH Scenario" dataDxfId="138"/>
    <tableColumn id="4" xr3:uid="{A137C00C-6542-4628-836B-12B92C82865E}" name="Generic focal species" dataDxfId="137"/>
    <tableColumn id="5" xr3:uid="{8AEB20A2-3747-4097-AC35-EE7C6CA1D03C}" name="Representative species" dataDxfId="136"/>
    <tableColumn id="6" xr3:uid="{51558C5C-9173-4CA6-805F-C377282F3D8D}" name="SV90" dataDxfId="135"/>
    <tableColumn id="10" xr3:uid="{CE457023-F878-4529-9993-756BD2B9875B}" name="DDD90 (mg/kg bw/d)" dataDxfId="134">
      <calculatedColumnFormula>IF(AND(ISNUMBER(Table412[[#This Row],[SV90]]),ISNUMBER(HLOOKUP(Table412[[#This Row],[Crop]],Input_Scenario,10,FALSE)),ISNUMBER(HLOOKUP(Table412[[#This Row],[Crop]],Input_Scenario,5,FALSE))),Table412[[#This Row],[SV90]]*HLOOKUP(Table412[[#This Row],[Crop]],Input_Scenario,10,FALSE)*HLOOKUP(Table412[[#This Row],[Crop]],Input_Scenario,5,FALSE),"")</calculatedColumnFormula>
    </tableColumn>
    <tableColumn id="11" xr3:uid="{361C4A66-5D18-43AF-8EA0-80ABAFF58D2F}" name="TERmix" dataDxfId="133">
      <calculatedColumnFormula>IF(AND(ISNUMBER($D$12),ISNUMBER(Table412[[#This Row],[DDD90 (mg/kg bw/d)]])),$D$47/Table412[[#This Row],[DDD90 (mg/kg bw/d)]],"")</calculatedColumnFormula>
    </tableColumn>
    <tableColumn id="13" xr3:uid="{5B1668D9-6269-4EF9-80EC-850CD4EEF164}" name="M" dataDxfId="132">
      <calculatedColumnFormula>IF(ISNUMBER(Table412[[#This Row],[TERmix]]),"Input provided","No input")</calculatedColumnFormula>
    </tableColumn>
  </tableColumns>
  <tableStyleInfo name="Table Style 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393018-05AC-4D2D-AB57-07C2CFD6C9B6}" name="Mammal_Chronic" displayName="Mammal_Chronic" ref="B31:F260" totalsRowShown="0" headerRowDxfId="104" dataDxfId="103">
  <autoFilter ref="B31:F260" xr:uid="{11EF8EA9-35E3-43FC-94F7-2F5F67005B9F}"/>
  <tableColumns count="5">
    <tableColumn id="2" xr3:uid="{54D752B6-590E-42C4-B4F6-910CA284E7D9}" name="Relevance" dataDxfId="102">
      <calculatedColumnFormula>IF(AND($B$3="Active",ISNUMBER(I32)),"Input provided","No input")</calculatedColumnFormula>
    </tableColumn>
    <tableColumn id="1" xr3:uid="{427C51A6-ACF2-4AA9-8D7D-B34E00BF44F4}" name="Crop" dataDxfId="101"/>
    <tableColumn id="3" xr3:uid="{ED422C47-906B-4386-BE38-4033D67968A1}" name="BBCH Scenario" dataDxfId="100"/>
    <tableColumn id="4" xr3:uid="{95CACC56-2352-4D75-9F61-AD1B49316425}" name="Generic focal species" dataDxfId="99"/>
    <tableColumn id="5" xr3:uid="{06427AAF-C5DD-4A1C-9FF4-EC8DCA7BA939}" name="SVm" dataDxfId="98"/>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C3E7D5B-CC0A-44C3-94B2-601CFD8110F2}" name="Active" displayName="Active" ref="B11:R16" totalsRowShown="0" headerRowDxfId="90" dataDxfId="89" headerRowBorderDxfId="87" tableBorderDxfId="88" totalsRowBorderDxfId="86">
  <autoFilter ref="B11:R16" xr:uid="{EDB99872-6871-406A-8727-D10855D8CA40}"/>
  <tableColumns count="17">
    <tableColumn id="1" xr3:uid="{D3D3F86E-2D78-444A-A0AC-E435D03A4FF3}" name="i" dataDxfId="85"/>
    <tableColumn id="2" xr3:uid="{1478329C-E613-45AA-9F61-172C2EFF9ABE}" name="Active" dataDxfId="84">
      <calculatedColumnFormula>IF(Count&gt;=B12,TRUE,FALSE)</calculatedColumnFormula>
    </tableColumn>
    <tableColumn id="3" xr3:uid="{BD3AEE4C-88B0-452C-905B-7C5374BAA6DD}" name="Name" dataDxfId="83"/>
    <tableColumn id="4" xr3:uid="{DF569084-9448-4A87-8C8F-364492A08D12}" name="Cas" dataDxfId="82">
      <calculatedColumnFormula array="1">IF(AND(Active[[#This Row],[Active]]=TRUE, ISNUMBER(INDEX(Input_AS.Concentration, 1,Active[[#This Row],[i]]))),
                  INDEX(Input_AS.Concentration, 1,Active[[#This Row],[i]]),"")</calculatedColumnFormula>
    </tableColumn>
    <tableColumn id="5" xr3:uid="{83D32C3B-4169-449E-ADD9-7A812398CEA9}" name="Xas" dataDxfId="81">
      <calculatedColumnFormula>IF(AND(Active[[#This Row],[Active]]=TRUE, ISNUMBER(Cmix),ISNUMBER(Active[[#This Row],[Cas]])),
           Active[[#This Row],[Cas]]/Cmix,"")</calculatedColumnFormula>
    </tableColumn>
    <tableColumn id="6" xr3:uid="{FDAF4A3B-56BF-4904-B3E0-426C4A927548}" name="B_LD50" dataDxfId="80">
      <calculatedColumnFormula array="1">IF(AND(Active[[#This Row],[Active]]=TRUE, ISNUMBER(INDEX(Input_AS.Bird.LD50, 1,Active[[#This Row],[i]]))),
                  INDEX(Input_AS.Bird.LD50, 1,Active[[#This Row],[i]]),"")</calculatedColumnFormula>
    </tableColumn>
    <tableColumn id="7" xr3:uid="{879E8E69-ACA5-4891-A295-F08432C8F70C}" name="B_NOAEL" dataDxfId="79">
      <calculatedColumnFormula array="1">IF(AND(Active[[#This Row],[Active]]=TRUE, ISNUMBER(INDEX(Input_AS.Bird.NOAEL, 1,Active[[#This Row],[i]]))),
                  INDEX(Input_AS.Bird.NOAEL, 1,Active[[#This Row],[i]]),"")</calculatedColumnFormula>
    </tableColumn>
    <tableColumn id="8" xr3:uid="{C19E888B-FA80-45E9-AC51-88E55C3F4C03}" name="M_LD50" dataDxfId="78">
      <calculatedColumnFormula array="1">IF(AND(Active[[#This Row],[Active]]=TRUE, ISNUMBER(INDEX(Input_AS.Mammal.LD50, 1,Active[[#This Row],[i]]))),
                  INDEX(Input_AS.Mammal.LD50, 1,Active[[#This Row],[i]]),"")</calculatedColumnFormula>
    </tableColumn>
    <tableColumn id="9" xr3:uid="{2CC5D79C-A573-400C-983B-7EE8430CC747}" name="M_NOAEL" dataDxfId="77">
      <calculatedColumnFormula array="1">IF(AND(Active[[#This Row],[Active]]=TRUE, ISNUMBER(INDEX(Input_AS.Mammal.NOAEL, 1,Active[[#This Row],[i]]))),
                  INDEX(Input_AS.Mammal.NOAEL, 1,Active[[#This Row],[i]]),"")</calculatedColumnFormula>
    </tableColumn>
    <tableColumn id="10" xr3:uid="{74928C69-0558-490F-B253-B1680E45D3C3}" name="B_tpfas" dataDxfId="76">
      <calculatedColumnFormula>IF(AND(Active[[#This Row],[Active]]=TRUE,Process!$J$5=TRUE),Active[[#This Row],[B_LD50]]/Active[[#This Row],[Xas]],"")</calculatedColumnFormula>
    </tableColumn>
    <tableColumn id="11" xr3:uid="{C413714D-9848-428C-8985-11597419DFFD}" name="B_dev_tpfmix" dataDxfId="75">
      <calculatedColumnFormula>IF(AND(Active[[#This Row],[Active]]=TRUE,ISNUMBER(B_LD50_mix)),Active[[#This Row],[B_tpfas]]/B_LD50_mix-1,"")</calculatedColumnFormula>
    </tableColumn>
    <tableColumn id="12" xr3:uid="{3090EADD-DE21-407C-9606-3BEE4416AE28}" name="B_ftpas" dataDxfId="74">
      <calculatedColumnFormula>IF(AND(Active[[#This Row],[Active]]=TRUE,Process!$J$5=TRUE),Active[[#This Row],[Xas]]/Active[[#This Row],[B_LD50]],"")</calculatedColumnFormula>
    </tableColumn>
    <tableColumn id="13" xr3:uid="{F1219965-8979-4D7D-BCE5-FC8E08373970}" name="B_contr_LD50mix" dataDxfId="73">
      <calculatedColumnFormula>IF(AND(Active[[#This Row],[Active]]=TRUE,ISNUMBER(Active[[#This Row],[B_ftpas]])),Active[[#This Row],[B_ftpas]]/SUM(Active[B_ftpas]),"")</calculatedColumnFormula>
    </tableColumn>
    <tableColumn id="14" xr3:uid="{6D9B189C-4249-48A3-9672-BF4A815F55F4}" name="M_tpfas" dataDxfId="72">
      <calculatedColumnFormula>IFERROR(IF(AND(Active[[#This Row],[Active]]=TRUE,ISNUMBER(Active[[#This Row],[M_LD50]])),Active[[#This Row],[M_LD50]]/Active[[#This Row],[Xas]],""),"")</calculatedColumnFormula>
    </tableColumn>
    <tableColumn id="15" xr3:uid="{2C3D91AC-29EA-4472-A469-3F82546F839F}" name="M_dev_tpfmix" dataDxfId="71">
      <calculatedColumnFormula>IFERROR(IF(AND(Active[[#This Row],[Active]]=TRUE,ISNUMBER(M_LD50_mix)),Active[[#This Row],[M_tpfas]]/M_LD50_mix-1,""),"")</calculatedColumnFormula>
    </tableColumn>
    <tableColumn id="16" xr3:uid="{D1D3E3B1-F48D-48CA-AA3D-5445338FF2A4}" name="M_ftpas" dataDxfId="70">
      <calculatedColumnFormula>IFERROR(IF(AND(Active[[#This Row],[Active]]=TRUE,ISNUMBER(Active[[#This Row],[Xas]])),Active[[#This Row],[Xas]]/Active[[#This Row],[M_LD50]],""),"")</calculatedColumnFormula>
    </tableColumn>
    <tableColumn id="17" xr3:uid="{16B944D1-51E8-4684-B7D7-9272C64EFA6B}" name="M_contr_LD50mix" dataDxfId="69">
      <calculatedColumnFormula>IFERROR(IF(AND(Active[[#This Row],[Active]]=TRUE,ISNUMBER(Active[[#This Row],[M_ftpas]])),Active[[#This Row],[M_ftpas]]/SUM(Active[M_ftpas]),""),"")</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24BD8D0-1B8D-452B-B749-66939F551BBE}" name="Product" displayName="Product" ref="B28:P30" totalsRowShown="0" headerRowDxfId="68" dataDxfId="67" headerRowBorderDxfId="65" tableBorderDxfId="66">
  <autoFilter ref="B28:P30" xr:uid="{491A3C89-BF70-48DB-9074-21C3EAFA470D}"/>
  <tableColumns count="15">
    <tableColumn id="4" xr3:uid="{6866057F-45E0-400F-9673-204836165132}" name="Assessment" dataDxfId="64"/>
    <tableColumn id="5" xr3:uid="{50B7F61C-5FDA-4A82-9F02-50791073F820}" name="Acute test" dataDxfId="63">
      <calculatedColumnFormula>IF(OR(ISBLANK(Input!C14),ISBLANK(Product[[#This Row],[LD50form]])),"Not available",Input!C14)</calculatedColumnFormula>
    </tableColumn>
    <tableColumn id="6" xr3:uid="{501D2D14-8EC5-4767-B352-02EE6EDB585D}" name="LD50form" dataDxfId="62">
      <calculatedColumnFormula>IF(AND(Product[[#This Row],[Acute test]]&lt;&gt;"Not available",ISNUMBER(Input!D14)),Input!D14,"")</calculatedColumnFormula>
    </tableColumn>
    <tableColumn id="7" xr3:uid="{AA7CB6FC-38F6-45F9-86B8-455BFE798057}" name="Chronic test" dataDxfId="61">
      <calculatedColumnFormula>IF(ISBLANK(Input!H14),"Not available",Input!H14)</calculatedColumnFormula>
    </tableColumn>
    <tableColumn id="8" xr3:uid="{0055A134-D349-4F3D-9025-D5C82C8DECC9}" name="NOAEL" dataDxfId="60">
      <calculatedColumnFormula>IF(AND(Product[[#This Row],[Chronic test]]&lt;&gt;"Not available",ISNUMBER(Input!G15)),Input!G15,"")</calculatedColumnFormula>
    </tableColumn>
    <tableColumn id="9" xr3:uid="{B20A2563-A0AB-48C8-A758-82DDBFB2CC07}" name="LD50mix" dataDxfId="59">
      <calculatedColumnFormula array="1">IFERROR(IF(Process!E4=TRUE,SUM(OFFSET(F11,,,Count,)/OFFSET(I11,,,Count,))^-1,""),"")</calculatedColumnFormula>
    </tableColumn>
    <tableColumn id="10" xr3:uid="{464AF7E1-D08F-4CD5-847E-9D37B8F0076A}" name="Acute meas-vs-pred" dataDxfId="58">
      <calculatedColumnFormula>IF(AND(ISNUMBER(Product[[#This Row],[LD50form]]),ISNUMBER(B_LD50_mix)),(1/Product[[#This Row],[LD50mix]])-(1/Product[[#This Row],[LD50form]]),"")</calculatedColumnFormula>
    </tableColumn>
    <tableColumn id="11" xr3:uid="{2BA84878-9EF2-4018-9CF8-75F337C82BEF}" name="Acute PPP Limit-test relevance" dataDxfId="57">
      <calculatedColumnFormula>IF(AND(Calculations!H29&lt;0,M_Acute_Form_Study="Limit test",NOT(ISBLANK('Mammals Acute RA'!E32))),'Mammals Acute RA'!E32,"")</calculatedColumnFormula>
    </tableColumn>
    <tableColumn id="12" xr3:uid="{30AD684F-60D2-4FC9-8685-0ED34AD208E7}" name="Used Acute endpoint type" dataDxfId="56">
      <calculatedColumnFormula>IF(Product[[#This Row],[Acute toxicity Driver]]=FALSE,
         IF(OR(
                AND(Product[[#This Row],[Acute test]]="Dose-response",Product[[#This Row],[Acute meas-vs-pred]]&lt;0),
                AND(Product[[#This Row],[Acute test]]="Limit test",Product[[#This Row],[Acute meas-vs-pred]]&lt;0,Product[[#This Row],[Acute PPP Limit-test relevance]]="Yes")),
               "Formulation","Surrogate"),
    Product[[#This Row],[Acute toxicity driver name]]&amp;" LD50")</calculatedColumnFormula>
    </tableColumn>
    <tableColumn id="13" xr3:uid="{9F486DB6-AA12-476B-9DCD-EFB84D6E286F}" name="Used Acute endpoint value" dataDxfId="55">
      <calculatedColumnFormula>IFERROR(
      IF(Product[[#This Row],[Used Acute endpoint type]]="Surrogate",M_LD50_mix,
      IF(Product[[#This Row],[Used Acute endpoint type]]="Formulation",Product[[#This Row],[LD50form]],
      IF(ISNUMBER(Product[[#This Row],[Acute toxicity Driver LD50]]),Product[[#This Row],[Acute toxicity Driver LD50]],""))),"")</calculatedColumnFormula>
    </tableColumn>
    <tableColumn id="14" xr3:uid="{11235B60-5C66-445E-9748-C5C8C009CF68}" name="Acute toxicity Driver" dataDxfId="54">
      <calculatedColumnFormula>IF(COUNTIFS(Active[B_dev_tpfmix],"&lt;=0.1",Active[B_dev_tpfmix],"&gt;=0")&gt;0,TRUE,FALSE)</calculatedColumnFormula>
    </tableColumn>
    <tableColumn id="15" xr3:uid="{3ABA0DDB-C6EF-4DEC-90E9-8E3A73F2AD8A}" name="Acute toxicity driver name" dataDxfId="53">
      <calculatedColumnFormula>IFERROR(IF(Product[[#This Row],[Acute toxicity Driver]]=TRUE,INDEX(Active[Name],MATCH(MAX(Active[B_contr_LD50mix]),Active[B_contr_LD50mix],0),),""),"")</calculatedColumnFormula>
    </tableColumn>
    <tableColumn id="16" xr3:uid="{A9FBDBD8-A53F-442B-955A-BE817E9F6EC7}" name="Acute toxicity Driver LD50" dataDxfId="52">
      <calculatedColumnFormula>IFERROR(IF(M_Driver_test=TRUE,INDEX($I$12:$I$16,MATCH(MAX($R$12:$R$16),$R$12:$R$16,0),),""),"")</calculatedColumnFormula>
    </tableColumn>
    <tableColumn id="1" xr3:uid="{FECE191B-07C2-4675-B8A0-74795BDCA00B}" name="Chronic PPP test relevance" dataDxfId="51">
      <calculatedColumnFormula>IF(AND(OR(Product[[#This Row],[Chronic test]] = "Dose-response", Product[[#This Row],[Chronic test]] = "Limit test"), ISNUMBER(Product[[#This Row],[NOAEL]]), 'Birds Chronic RA'!H12 &lt;&gt; ""),'Birds Chronic RA'!H12, "")</calculatedColumnFormula>
    </tableColumn>
    <tableColumn id="2" xr3:uid="{43A7F3E7-0083-4B38-8DBC-85F025BD2EA9}" name="Chronic Assessment Scheme" dataDxfId="50">
      <calculatedColumnFormula>IF(AND(ISNUMBER(Product[[#This Row],[NOAEL]]), Product[[#This Row],[Chronic PPP test relevance]] = "Yes"), "C(mix)", "HISUM")</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5F93A90-4A9E-4AA1-BA20-3818A406372C}" name="Input_check" displayName="Input_check" ref="B4:E10" totalsRowShown="0" headerRowDxfId="47" dataDxfId="46" tableBorderDxfId="45">
  <autoFilter ref="B4:E10" xr:uid="{4DAD088A-4070-48CF-ADD5-3004A76736CA}"/>
  <tableColumns count="4">
    <tableColumn id="2" xr3:uid="{66755733-D836-453D-AABB-CECE86278A37}" name="Input" dataDxfId="44"/>
    <tableColumn id="3" xr3:uid="{9E971EDA-C8A2-4687-A6D6-9F2F71659923}" name="Requirement" dataDxfId="43"/>
    <tableColumn id="4" xr3:uid="{3BE0427A-143E-4E4B-A184-CDF33DB3B146}" name="Birds" dataDxfId="42"/>
    <tableColumn id="5" xr3:uid="{F6FA8AE8-0205-44D7-9443-85E1052744F0}" name="Mammals" dataDxfId="4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732D4A4-B362-4B2A-892F-873967063DAA}" name="Process" displayName="Process" ref="G4:O8" totalsRowShown="0" headerRowDxfId="40" dataDxfId="39" headerRowBorderDxfId="37" tableBorderDxfId="38">
  <autoFilter ref="G4:O8" xr:uid="{BE59647C-4285-41D2-BB5E-7EDC5AD8117C}"/>
  <tableColumns count="9">
    <tableColumn id="1" xr3:uid="{D461B7B2-4737-4DDF-93BE-64633E4107B5}" name="Section" dataDxfId="36"/>
    <tableColumn id="2" xr3:uid="{92CCF91B-FB56-4D25-BE65-18E66E346331}" name="Step" dataDxfId="35"/>
    <tableColumn id="3" xr3:uid="{B98636BA-EB5D-4E22-8850-5470FCD3EA97}" name="Terms" dataDxfId="34"/>
    <tableColumn id="4" xr3:uid="{CF002549-CD37-4FC4-9D8A-F63C7BB2FDA4}" name="ActiveStep_Birds" dataDxfId="33"/>
    <tableColumn id="6" xr3:uid="{6C46F2E2-4E96-416A-A303-CEBD4E06EE91}" name="Next step (birds)" dataDxfId="32">
      <calculatedColumnFormula>_xlfn.IFS(
Process[[#This Row],[ActiveStep_Birds]]=FALSE, "Input",
B_Driver_test=TRUE, 4,
B_Driver_test=FALSE,
           _xlfn.IFS(B_Acute_Form_Study="Dose-response","2a",
          B_Acute_Form_Study="Limit test","2b",
          OR(B_Acute_Form_Study="Not available", B_Acute_Form_Study=""), 4),
B_Driver_test&lt;&gt;FALSE,"")</calculatedColumnFormula>
    </tableColumn>
    <tableColumn id="8" xr3:uid="{3FC51A05-F5FC-4240-9419-BA8746454F11}" name="HowToProceed_Birds" dataDxfId="31">
      <calculatedColumnFormula>_xlfn.IFS(
Process[[#This Row],[ActiveStep_Birds]]=FALSE,#REF!,
B_Driver_test=FALSE,"No single substance is identified as the driver of the risk assessment.
"&amp;
IF(OR(Factors!F22="2a",Factors!F22="2b"), " Prodceed with comparing the predicted and measured toxicity.","")&amp;
IF(Factors!F22=4," Proceed to the mixture risk assessment (no formulation data available).",""),
B_Driver_test=TRUE,B_Driver_ID&amp;#REF!)</calculatedColumnFormula>
    </tableColumn>
    <tableColumn id="5" xr3:uid="{8AEFA07C-0A90-4AD7-B6A2-D390D4F3FA79}" name="ActiveStep_Mammals" dataDxfId="30"/>
    <tableColumn id="7" xr3:uid="{F248F02D-8406-43B2-AA47-302ED7F60C81}" name="Next step (mammals)" dataDxfId="29"/>
    <tableColumn id="9" xr3:uid="{4A7214B3-CD38-415F-AE76-A7B0A6231239}" name="HowToProceed_Mammals" dataDxfId="28"/>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8BC2BA-EB98-44AE-9122-27A8C5389544}" name="Scenarios" displayName="Scenarios" ref="B2:D23" totalsRowShown="0" headerRowDxfId="27" dataDxfId="26" headerRowBorderDxfId="24" tableBorderDxfId="25" totalsRowBorderDxfId="23">
  <autoFilter ref="B2:D23" xr:uid="{04218604-2E84-4EFF-9942-ABB194037636}"/>
  <tableColumns count="3">
    <tableColumn id="1" xr3:uid="{5D71B892-CE6E-419C-AAE2-1B7BC06AA09E}" name="Scenario" dataDxfId="22"/>
    <tableColumn id="2" xr3:uid="{765D819F-6879-4625-A8F6-BA1DEDAD9615}" name="Mammals" dataDxfId="21"/>
    <tableColumn id="3" xr3:uid="{26930077-373B-4F31-8884-1B0EEAA2A034}" name="Birds" dataDxfId="2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3E59E3-7E8B-425E-A25D-A147BD0A3A00}" name="Tier1_mammals" displayName="Tier1_mammals" ref="B26:H178" totalsRowShown="0" headerRowDxfId="19" dataDxfId="18" tableBorderDxfId="17">
  <autoFilter ref="B26:H178" xr:uid="{414B7259-698F-4D85-A4BD-E9BBBECDE2F5}"/>
  <tableColumns count="7">
    <tableColumn id="1" xr3:uid="{FFD31F2C-BB99-43AF-8036-BDEF3B6F1740}" name="Crop" dataDxfId="16"/>
    <tableColumn id="2" xr3:uid="{BBD94A36-0A38-4A00-B39F-661610E3CEFB}" name="Group" dataDxfId="15"/>
    <tableColumn id="3" xr3:uid="{93A00E40-BC38-4B9A-87DA-3CDCFE1A5901}" name="BBCH Scenario" dataDxfId="14"/>
    <tableColumn id="4" xr3:uid="{86F121D1-6772-4F95-AA59-B10BDD6F7840}" name="Generic focal species" dataDxfId="13"/>
    <tableColumn id="5" xr3:uid="{0B8F6451-1BEF-4DF3-8231-7F3C0D3A0BE4}" name="Representative species" dataDxfId="12"/>
    <tableColumn id="6" xr3:uid="{3630F404-C5F9-4714-81DA-FDE785A79589}" name="SV90" dataDxfId="11"/>
    <tableColumn id="7" xr3:uid="{0FE14B8E-57E0-4EAC-AE88-14CBB85A8F5B}" name="SVm" dataDxfId="1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436606-4F27-4C41-8770-8F620F9CA1FB}" name="Tier1_birds" displayName="Tier1_birds" ref="J26:P154" totalsRowShown="0" headerRowDxfId="9" dataDxfId="8" tableBorderDxfId="7">
  <autoFilter ref="J26:P154" xr:uid="{D884C7B4-0AC2-41D7-8136-0EA1A1894375}"/>
  <tableColumns count="7">
    <tableColumn id="1" xr3:uid="{C81CDD2D-FFFE-4220-B975-3F587F387AA8}" name="Crop" dataDxfId="6"/>
    <tableColumn id="2" xr3:uid="{8CC8A7E2-005F-475E-A81F-E22AF58D3517}" name="Group" dataDxfId="5"/>
    <tableColumn id="3" xr3:uid="{F57108C3-4048-4B6A-94F4-0B2B49F7CCE9}" name="BBCH Scenario" dataDxfId="4"/>
    <tableColumn id="4" xr3:uid="{A18CB5A5-CF2B-4D66-ABC4-6B0EE17E535F}" name="Generic focal species" dataDxfId="3"/>
    <tableColumn id="5" xr3:uid="{E45074B8-48CA-40E9-89F6-03D76FF3EBD4}" name="Representative species" dataDxfId="2"/>
    <tableColumn id="6" xr3:uid="{2091BA52-3A69-4AD4-8016-16DA52C7D494}" name="SV90" dataDxfId="1"/>
    <tableColumn id="7" xr3:uid="{7844A333-4571-47B0-A120-BEF1C1F27EF3}" name="SVm"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eng.mst.dk/chemicals/pesticides/applications-for-authorisation-after-14-june-2011/cooperation-in-the-north-zone/" TargetMode="External"/><Relationship Id="rId5" Type="http://schemas.microsoft.com/office/2007/relationships/slicer" Target="../slicers/slicer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eng.mst.dk/chemicals/pesticides/applications-for-authorisation-after-14-june-2011/cooperation-in-the-north-zone/" TargetMode="External"/><Relationship Id="rId5" Type="http://schemas.microsoft.com/office/2007/relationships/slicer" Target="../slicers/slicer2.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eng.mst.dk/chemicals/pesticides/applications-for-authorisation-after-14-june-2011/cooperation-in-the-north-zone/" TargetMode="External"/><Relationship Id="rId5" Type="http://schemas.microsoft.com/office/2007/relationships/slicer" Target="../slicers/slicer3.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eng.mst.dk/chemicals/pesticides/applications-for-authorisation-after-14-june-2011/cooperation-in-the-north-zone/" TargetMode="External"/><Relationship Id="rId5" Type="http://schemas.microsoft.com/office/2007/relationships/slicer" Target="../slicers/slicer4.xm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68"/>
  <sheetViews>
    <sheetView tabSelected="1" zoomScale="85" zoomScaleNormal="85" workbookViewId="0">
      <selection activeCell="S12" sqref="S12"/>
    </sheetView>
  </sheetViews>
  <sheetFormatPr defaultColWidth="11.42578125" defaultRowHeight="12.75"/>
  <cols>
    <col min="1" max="1" width="11.42578125" style="5"/>
    <col min="2" max="2" width="13" style="5" customWidth="1"/>
    <col min="3" max="4" width="11.42578125" style="5"/>
    <col min="5" max="5" width="13" style="5" customWidth="1"/>
    <col min="6" max="16384" width="11.42578125" style="5"/>
  </cols>
  <sheetData>
    <row r="2" spans="1:13">
      <c r="A2" s="74"/>
      <c r="B2" s="412" t="s">
        <v>0</v>
      </c>
      <c r="C2" s="412"/>
      <c r="D2" s="412"/>
      <c r="E2" s="412"/>
      <c r="F2" s="75"/>
      <c r="G2" s="75"/>
      <c r="H2" s="75"/>
      <c r="I2" s="75"/>
      <c r="J2" s="75"/>
      <c r="K2" s="75"/>
      <c r="L2" s="75"/>
      <c r="M2" s="76"/>
    </row>
    <row r="3" spans="1:13">
      <c r="A3" s="77"/>
      <c r="B3" s="413"/>
      <c r="C3" s="413"/>
      <c r="D3" s="413"/>
      <c r="E3" s="413"/>
      <c r="F3" s="78"/>
      <c r="G3" s="78"/>
      <c r="H3" s="78"/>
      <c r="I3" s="78"/>
      <c r="J3" s="78"/>
      <c r="K3" s="78"/>
      <c r="L3" s="78"/>
      <c r="M3" s="79"/>
    </row>
    <row r="5" spans="1:13" ht="19.5" customHeight="1">
      <c r="A5" s="80"/>
      <c r="B5" s="409" t="s">
        <v>1</v>
      </c>
      <c r="C5" s="409"/>
      <c r="D5" s="409"/>
      <c r="E5" s="409"/>
      <c r="F5" s="410"/>
      <c r="G5" s="410"/>
      <c r="H5" s="410"/>
      <c r="I5" s="410"/>
      <c r="J5" s="410"/>
      <c r="K5" s="410"/>
      <c r="L5" s="410"/>
      <c r="M5" s="411"/>
    </row>
    <row r="7" spans="1:13" ht="23.25" customHeight="1">
      <c r="B7" s="416" t="s">
        <v>2</v>
      </c>
      <c r="C7" s="416"/>
      <c r="D7" s="416"/>
      <c r="E7" s="416"/>
      <c r="F7" s="416"/>
      <c r="G7" s="420" t="s">
        <v>3</v>
      </c>
      <c r="H7" s="420"/>
      <c r="I7" s="420"/>
      <c r="J7" s="420"/>
      <c r="K7" s="420"/>
      <c r="L7" s="420"/>
    </row>
    <row r="8" spans="1:13" ht="18" customHeight="1">
      <c r="B8" s="416"/>
      <c r="C8" s="416"/>
      <c r="D8" s="416"/>
      <c r="E8" s="416"/>
      <c r="F8" s="416"/>
      <c r="G8" s="420"/>
      <c r="H8" s="420"/>
      <c r="I8" s="420"/>
      <c r="J8" s="420"/>
      <c r="K8" s="420"/>
      <c r="L8" s="420"/>
    </row>
    <row r="9" spans="1:13" ht="31.5" customHeight="1">
      <c r="B9" s="416" t="s">
        <v>4</v>
      </c>
      <c r="C9" s="416"/>
      <c r="D9" s="416"/>
      <c r="E9" s="416"/>
      <c r="F9" s="416"/>
      <c r="G9" s="414" t="s">
        <v>5</v>
      </c>
      <c r="H9" s="414"/>
      <c r="I9" s="414"/>
      <c r="J9" s="414"/>
      <c r="K9" s="414"/>
      <c r="L9" s="414"/>
    </row>
    <row r="10" spans="1:13" ht="28.5" customHeight="1">
      <c r="B10" s="416"/>
      <c r="C10" s="416"/>
      <c r="D10" s="416"/>
      <c r="E10" s="416"/>
      <c r="F10" s="416"/>
      <c r="G10" s="415"/>
      <c r="H10" s="415"/>
      <c r="I10" s="415"/>
      <c r="J10" s="415"/>
      <c r="K10" s="415"/>
      <c r="L10" s="415"/>
    </row>
    <row r="11" spans="1:13" ht="15" customHeight="1">
      <c r="B11" s="416" t="s">
        <v>6</v>
      </c>
      <c r="C11" s="416"/>
      <c r="D11" s="416"/>
      <c r="E11" s="416"/>
      <c r="F11" s="416"/>
      <c r="G11" s="419" t="s">
        <v>7</v>
      </c>
      <c r="H11" s="419"/>
      <c r="I11" s="419"/>
      <c r="J11" s="419"/>
      <c r="K11" s="419"/>
      <c r="L11" s="419"/>
    </row>
    <row r="12" spans="1:13" ht="15" customHeight="1">
      <c r="B12" s="416"/>
      <c r="C12" s="416"/>
      <c r="D12" s="416"/>
      <c r="E12" s="416"/>
      <c r="F12" s="416"/>
      <c r="G12" s="419"/>
      <c r="H12" s="419"/>
      <c r="I12" s="419"/>
      <c r="J12" s="419"/>
      <c r="K12" s="419"/>
      <c r="L12" s="419"/>
    </row>
    <row r="13" spans="1:13" ht="15.75" customHeight="1">
      <c r="B13" s="416" t="s">
        <v>8</v>
      </c>
      <c r="C13" s="416"/>
      <c r="D13" s="416"/>
      <c r="E13" s="416"/>
      <c r="F13" s="427"/>
      <c r="G13" s="421" t="s">
        <v>9</v>
      </c>
      <c r="H13" s="422"/>
      <c r="I13" s="422"/>
      <c r="J13" s="422"/>
      <c r="K13" s="422"/>
      <c r="L13" s="423"/>
    </row>
    <row r="14" spans="1:13" ht="15.75" customHeight="1">
      <c r="B14" s="416"/>
      <c r="C14" s="416"/>
      <c r="D14" s="416"/>
      <c r="E14" s="416"/>
      <c r="F14" s="427"/>
      <c r="G14" s="424"/>
      <c r="H14" s="425"/>
      <c r="I14" s="425"/>
      <c r="J14" s="425"/>
      <c r="K14" s="425"/>
      <c r="L14" s="426"/>
    </row>
    <row r="15" spans="1:13" ht="12.75" customHeight="1">
      <c r="B15" s="416" t="s">
        <v>10</v>
      </c>
      <c r="C15" s="416"/>
      <c r="D15" s="416"/>
      <c r="E15" s="416"/>
      <c r="F15" s="416"/>
      <c r="G15" s="418" t="s">
        <v>11</v>
      </c>
      <c r="H15" s="418"/>
      <c r="I15" s="418"/>
      <c r="J15" s="418"/>
      <c r="K15" s="418"/>
      <c r="L15" s="418"/>
    </row>
    <row r="16" spans="1:13" ht="12.75" customHeight="1">
      <c r="B16" s="416"/>
      <c r="C16" s="416"/>
      <c r="D16" s="416"/>
      <c r="E16" s="416"/>
      <c r="F16" s="416"/>
      <c r="G16" s="418"/>
      <c r="H16" s="418"/>
      <c r="I16" s="418"/>
      <c r="J16" s="418"/>
      <c r="K16" s="418"/>
      <c r="L16" s="418"/>
    </row>
    <row r="17" spans="1:13" ht="12.75" customHeight="1">
      <c r="B17" s="416"/>
      <c r="C17" s="416"/>
      <c r="D17" s="416"/>
      <c r="E17" s="416"/>
      <c r="F17" s="416"/>
      <c r="G17" s="417" t="s">
        <v>12</v>
      </c>
      <c r="H17" s="417"/>
      <c r="I17" s="417"/>
      <c r="J17" s="417"/>
      <c r="K17" s="417"/>
      <c r="L17" s="417"/>
    </row>
    <row r="18" spans="1:13" ht="12.75" customHeight="1">
      <c r="B18" s="416"/>
      <c r="C18" s="416"/>
      <c r="D18" s="416"/>
      <c r="E18" s="416"/>
      <c r="F18" s="416"/>
      <c r="G18" s="417"/>
      <c r="H18" s="417"/>
      <c r="I18" s="417"/>
      <c r="J18" s="417"/>
      <c r="K18" s="417"/>
      <c r="L18" s="417"/>
    </row>
    <row r="20" spans="1:13" ht="21.75" customHeight="1">
      <c r="A20" s="80"/>
      <c r="B20" s="409" t="s">
        <v>13</v>
      </c>
      <c r="C20" s="409"/>
      <c r="D20" s="409"/>
      <c r="E20" s="409"/>
      <c r="F20" s="410"/>
      <c r="G20" s="410"/>
      <c r="H20" s="410"/>
      <c r="I20" s="410"/>
      <c r="J20" s="410"/>
      <c r="K20" s="410"/>
      <c r="L20" s="410"/>
      <c r="M20" s="411"/>
    </row>
    <row r="24" spans="1:13">
      <c r="B24" s="82"/>
      <c r="C24" s="83"/>
      <c r="D24" s="83"/>
      <c r="E24" s="83"/>
      <c r="F24" s="83"/>
      <c r="G24" s="83"/>
      <c r="H24" s="83"/>
      <c r="I24" s="83"/>
      <c r="J24" s="83"/>
      <c r="K24" s="83"/>
      <c r="L24" s="83"/>
      <c r="M24" s="84"/>
    </row>
    <row r="25" spans="1:13">
      <c r="B25" s="85"/>
      <c r="C25" s="86"/>
      <c r="D25" s="86"/>
      <c r="E25" s="86"/>
      <c r="F25" s="86"/>
      <c r="G25" s="86"/>
      <c r="H25" s="86"/>
      <c r="I25" s="86"/>
      <c r="J25" s="86"/>
      <c r="K25" s="86"/>
      <c r="L25" s="86"/>
      <c r="M25" s="87"/>
    </row>
    <row r="26" spans="1:13" ht="15" customHeight="1">
      <c r="B26" s="85"/>
      <c r="C26" s="86"/>
      <c r="D26" s="86"/>
      <c r="E26" s="86"/>
      <c r="F26" s="86"/>
      <c r="G26" s="86"/>
      <c r="H26" s="86"/>
      <c r="I26" s="86"/>
      <c r="J26" s="86"/>
      <c r="K26" s="86"/>
      <c r="L26" s="86"/>
      <c r="M26" s="87"/>
    </row>
    <row r="27" spans="1:13">
      <c r="B27" s="85"/>
      <c r="C27" s="434" t="s">
        <v>14</v>
      </c>
      <c r="D27" s="434"/>
      <c r="E27" s="434"/>
      <c r="F27" s="434"/>
      <c r="G27" s="434"/>
      <c r="H27" s="434"/>
      <c r="I27" s="434"/>
      <c r="J27" s="434"/>
      <c r="K27" s="434"/>
      <c r="L27" s="434"/>
      <c r="M27" s="87"/>
    </row>
    <row r="28" spans="1:13">
      <c r="B28" s="85"/>
      <c r="C28" s="434"/>
      <c r="D28" s="434"/>
      <c r="E28" s="434"/>
      <c r="F28" s="434"/>
      <c r="G28" s="434"/>
      <c r="H28" s="434"/>
      <c r="I28" s="434"/>
      <c r="J28" s="434"/>
      <c r="K28" s="434"/>
      <c r="L28" s="434"/>
      <c r="M28" s="87"/>
    </row>
    <row r="29" spans="1:13">
      <c r="B29" s="85"/>
      <c r="C29" s="434"/>
      <c r="D29" s="434"/>
      <c r="E29" s="434"/>
      <c r="F29" s="434"/>
      <c r="G29" s="434"/>
      <c r="H29" s="434"/>
      <c r="I29" s="434"/>
      <c r="J29" s="434"/>
      <c r="K29" s="434"/>
      <c r="L29" s="434"/>
      <c r="M29" s="87"/>
    </row>
    <row r="30" spans="1:13">
      <c r="B30" s="85"/>
      <c r="C30" s="434"/>
      <c r="D30" s="434"/>
      <c r="E30" s="434"/>
      <c r="F30" s="434"/>
      <c r="G30" s="434"/>
      <c r="H30" s="434"/>
      <c r="I30" s="434"/>
      <c r="J30" s="434"/>
      <c r="K30" s="434"/>
      <c r="L30" s="434"/>
      <c r="M30" s="87"/>
    </row>
    <row r="31" spans="1:13">
      <c r="B31" s="85"/>
      <c r="C31" s="434"/>
      <c r="D31" s="434"/>
      <c r="E31" s="434"/>
      <c r="F31" s="434"/>
      <c r="G31" s="434"/>
      <c r="H31" s="434"/>
      <c r="I31" s="434"/>
      <c r="J31" s="434"/>
      <c r="K31" s="434"/>
      <c r="L31" s="434"/>
      <c r="M31" s="87"/>
    </row>
    <row r="32" spans="1:13">
      <c r="B32" s="85"/>
      <c r="C32" s="434"/>
      <c r="D32" s="434"/>
      <c r="E32" s="434"/>
      <c r="F32" s="434"/>
      <c r="G32" s="434"/>
      <c r="H32" s="434"/>
      <c r="I32" s="434"/>
      <c r="J32" s="434"/>
      <c r="K32" s="434"/>
      <c r="L32" s="434"/>
      <c r="M32" s="87"/>
    </row>
    <row r="33" spans="1:13">
      <c r="B33" s="85"/>
      <c r="C33" s="434"/>
      <c r="D33" s="434"/>
      <c r="E33" s="434"/>
      <c r="F33" s="434"/>
      <c r="G33" s="434"/>
      <c r="H33" s="434"/>
      <c r="I33" s="434"/>
      <c r="J33" s="434"/>
      <c r="K33" s="434"/>
      <c r="L33" s="434"/>
      <c r="M33" s="87"/>
    </row>
    <row r="34" spans="1:13">
      <c r="B34" s="85"/>
      <c r="C34" s="434"/>
      <c r="D34" s="434"/>
      <c r="E34" s="434"/>
      <c r="F34" s="434"/>
      <c r="G34" s="434"/>
      <c r="H34" s="434"/>
      <c r="I34" s="434"/>
      <c r="J34" s="434"/>
      <c r="K34" s="434"/>
      <c r="L34" s="434"/>
      <c r="M34" s="87"/>
    </row>
    <row r="35" spans="1:13">
      <c r="B35" s="85"/>
      <c r="C35" s="434"/>
      <c r="D35" s="434"/>
      <c r="E35" s="434"/>
      <c r="F35" s="434"/>
      <c r="G35" s="434"/>
      <c r="H35" s="434"/>
      <c r="I35" s="434"/>
      <c r="J35" s="434"/>
      <c r="K35" s="434"/>
      <c r="L35" s="434"/>
      <c r="M35" s="87"/>
    </row>
    <row r="36" spans="1:13">
      <c r="B36" s="85"/>
      <c r="C36" s="434"/>
      <c r="D36" s="434"/>
      <c r="E36" s="434"/>
      <c r="F36" s="434"/>
      <c r="G36" s="434"/>
      <c r="H36" s="434"/>
      <c r="I36" s="434"/>
      <c r="J36" s="434"/>
      <c r="K36" s="434"/>
      <c r="L36" s="434"/>
      <c r="M36" s="87"/>
    </row>
    <row r="37" spans="1:13">
      <c r="B37" s="85"/>
      <c r="C37" s="434"/>
      <c r="D37" s="434"/>
      <c r="E37" s="434"/>
      <c r="F37" s="434"/>
      <c r="G37" s="434"/>
      <c r="H37" s="434"/>
      <c r="I37" s="434"/>
      <c r="J37" s="434"/>
      <c r="K37" s="434"/>
      <c r="L37" s="434"/>
      <c r="M37" s="87"/>
    </row>
    <row r="38" spans="1:13">
      <c r="B38" s="85"/>
      <c r="C38" s="434"/>
      <c r="D38" s="434"/>
      <c r="E38" s="434"/>
      <c r="F38" s="434"/>
      <c r="G38" s="434"/>
      <c r="H38" s="434"/>
      <c r="I38" s="434"/>
      <c r="J38" s="434"/>
      <c r="K38" s="434"/>
      <c r="L38" s="434"/>
      <c r="M38" s="87"/>
    </row>
    <row r="39" spans="1:13">
      <c r="B39" s="85"/>
      <c r="C39" s="434"/>
      <c r="D39" s="434"/>
      <c r="E39" s="434"/>
      <c r="F39" s="434"/>
      <c r="G39" s="434"/>
      <c r="H39" s="434"/>
      <c r="I39" s="434"/>
      <c r="J39" s="434"/>
      <c r="K39" s="434"/>
      <c r="L39" s="434"/>
      <c r="M39" s="87"/>
    </row>
    <row r="40" spans="1:13">
      <c r="B40" s="85"/>
      <c r="C40" s="86"/>
      <c r="D40" s="86"/>
      <c r="E40" s="86"/>
      <c r="F40" s="86"/>
      <c r="G40" s="86"/>
      <c r="H40" s="86"/>
      <c r="I40" s="86"/>
      <c r="J40" s="86"/>
      <c r="K40" s="86"/>
      <c r="L40" s="86"/>
      <c r="M40" s="87"/>
    </row>
    <row r="41" spans="1:13">
      <c r="B41" s="85"/>
      <c r="C41" s="86"/>
      <c r="D41" s="86"/>
      <c r="E41" s="86"/>
      <c r="F41" s="86"/>
      <c r="G41" s="86"/>
      <c r="H41" s="86"/>
      <c r="I41" s="86"/>
      <c r="J41" s="86"/>
      <c r="K41" s="86"/>
      <c r="L41" s="86"/>
      <c r="M41" s="87"/>
    </row>
    <row r="42" spans="1:13">
      <c r="B42" s="88"/>
      <c r="C42" s="89"/>
      <c r="D42" s="89"/>
      <c r="E42" s="89"/>
      <c r="F42" s="89"/>
      <c r="G42" s="89"/>
      <c r="H42" s="89"/>
      <c r="I42" s="89"/>
      <c r="J42" s="89"/>
      <c r="K42" s="89"/>
      <c r="L42" s="89"/>
      <c r="M42" s="90"/>
    </row>
    <row r="47" spans="1:13">
      <c r="A47" s="81"/>
      <c r="B47" s="428" t="s">
        <v>15</v>
      </c>
      <c r="C47" s="428"/>
      <c r="D47" s="428"/>
      <c r="E47" s="428"/>
      <c r="F47" s="429"/>
      <c r="G47" s="429"/>
      <c r="H47" s="429"/>
      <c r="I47" s="429"/>
      <c r="J47" s="429"/>
      <c r="K47" s="429"/>
      <c r="L47" s="429"/>
      <c r="M47" s="456"/>
    </row>
    <row r="50" spans="2:13">
      <c r="B50" s="82"/>
      <c r="C50" s="83"/>
      <c r="D50" s="83"/>
      <c r="E50" s="83"/>
      <c r="F50" s="83"/>
      <c r="G50" s="83"/>
      <c r="H50" s="83"/>
      <c r="I50" s="83"/>
      <c r="J50" s="83"/>
      <c r="K50" s="83"/>
      <c r="L50" s="83"/>
      <c r="M50" s="84"/>
    </row>
    <row r="51" spans="2:13">
      <c r="B51" s="85"/>
      <c r="C51" s="86"/>
      <c r="D51" s="86"/>
      <c r="E51" s="86"/>
      <c r="F51" s="86"/>
      <c r="G51" s="86"/>
      <c r="H51" s="86"/>
      <c r="I51" s="86"/>
      <c r="J51" s="86"/>
      <c r="K51" s="86"/>
      <c r="L51" s="86"/>
      <c r="M51" s="87"/>
    </row>
    <row r="52" spans="2:13" ht="13.5" thickBot="1">
      <c r="B52" s="85"/>
      <c r="C52" s="86"/>
      <c r="D52" s="86"/>
      <c r="E52" s="86"/>
      <c r="F52" s="86"/>
      <c r="G52" s="86"/>
      <c r="H52" s="86"/>
      <c r="I52" s="86"/>
      <c r="J52" s="86"/>
      <c r="K52" s="86"/>
      <c r="L52" s="86"/>
      <c r="M52" s="87"/>
    </row>
    <row r="53" spans="2:13" ht="13.5" thickBot="1">
      <c r="B53" s="85"/>
      <c r="C53" s="457" t="s">
        <v>16</v>
      </c>
      <c r="D53" s="449"/>
      <c r="E53" s="443" t="s">
        <v>17</v>
      </c>
      <c r="F53" s="448"/>
      <c r="G53" s="448"/>
      <c r="H53" s="448"/>
      <c r="I53" s="448"/>
      <c r="J53" s="449"/>
      <c r="K53" s="443" t="s">
        <v>18</v>
      </c>
      <c r="L53" s="444"/>
      <c r="M53" s="87"/>
    </row>
    <row r="54" spans="2:13">
      <c r="B54" s="85"/>
      <c r="C54" s="435">
        <v>1</v>
      </c>
      <c r="D54" s="436"/>
      <c r="E54" s="450" t="s">
        <v>19</v>
      </c>
      <c r="F54" s="451"/>
      <c r="G54" s="451"/>
      <c r="H54" s="451"/>
      <c r="I54" s="451"/>
      <c r="J54" s="452"/>
      <c r="K54" s="445">
        <v>44533</v>
      </c>
      <c r="L54" s="446"/>
      <c r="M54" s="87"/>
    </row>
    <row r="55" spans="2:13">
      <c r="B55" s="85"/>
      <c r="C55" s="433"/>
      <c r="D55" s="432"/>
      <c r="E55" s="453"/>
      <c r="F55" s="454"/>
      <c r="G55" s="454"/>
      <c r="H55" s="454"/>
      <c r="I55" s="454"/>
      <c r="J55" s="455"/>
      <c r="K55" s="447"/>
      <c r="L55" s="439"/>
      <c r="M55" s="87"/>
    </row>
    <row r="56" spans="2:13">
      <c r="B56" s="85"/>
      <c r="C56" s="433"/>
      <c r="D56" s="432"/>
      <c r="E56" s="453"/>
      <c r="F56" s="454"/>
      <c r="G56" s="454"/>
      <c r="H56" s="454"/>
      <c r="I56" s="454"/>
      <c r="J56" s="455"/>
      <c r="K56" s="447"/>
      <c r="L56" s="439"/>
      <c r="M56" s="87"/>
    </row>
    <row r="57" spans="2:13">
      <c r="B57" s="85"/>
      <c r="C57" s="433"/>
      <c r="D57" s="432"/>
      <c r="E57" s="453"/>
      <c r="F57" s="454"/>
      <c r="G57" s="454"/>
      <c r="H57" s="454"/>
      <c r="I57" s="454"/>
      <c r="J57" s="455"/>
      <c r="K57" s="447"/>
      <c r="L57" s="439"/>
      <c r="M57" s="87"/>
    </row>
    <row r="58" spans="2:13">
      <c r="B58" s="85"/>
      <c r="C58" s="433"/>
      <c r="D58" s="432"/>
      <c r="E58" s="430"/>
      <c r="F58" s="431"/>
      <c r="G58" s="431"/>
      <c r="H58" s="431"/>
      <c r="I58" s="431"/>
      <c r="J58" s="432"/>
      <c r="K58" s="430"/>
      <c r="L58" s="439"/>
      <c r="M58" s="87"/>
    </row>
    <row r="59" spans="2:13">
      <c r="B59" s="85"/>
      <c r="C59" s="433"/>
      <c r="D59" s="432"/>
      <c r="E59" s="430"/>
      <c r="F59" s="431"/>
      <c r="G59" s="431"/>
      <c r="H59" s="431"/>
      <c r="I59" s="431"/>
      <c r="J59" s="432"/>
      <c r="K59" s="430"/>
      <c r="L59" s="439"/>
      <c r="M59" s="87"/>
    </row>
    <row r="60" spans="2:13">
      <c r="B60" s="85"/>
      <c r="C60" s="433"/>
      <c r="D60" s="432"/>
      <c r="E60" s="430"/>
      <c r="F60" s="431"/>
      <c r="G60" s="431"/>
      <c r="H60" s="431"/>
      <c r="I60" s="431"/>
      <c r="J60" s="432"/>
      <c r="K60" s="430"/>
      <c r="L60" s="439"/>
      <c r="M60" s="87"/>
    </row>
    <row r="61" spans="2:13">
      <c r="B61" s="85"/>
      <c r="C61" s="433"/>
      <c r="D61" s="432"/>
      <c r="E61" s="430"/>
      <c r="F61" s="431"/>
      <c r="G61" s="431"/>
      <c r="H61" s="431"/>
      <c r="I61" s="431"/>
      <c r="J61" s="432"/>
      <c r="K61" s="430"/>
      <c r="L61" s="439"/>
      <c r="M61" s="87"/>
    </row>
    <row r="62" spans="2:13">
      <c r="B62" s="85"/>
      <c r="C62" s="433"/>
      <c r="D62" s="432"/>
      <c r="E62" s="430"/>
      <c r="F62" s="431"/>
      <c r="G62" s="431"/>
      <c r="H62" s="431"/>
      <c r="I62" s="431"/>
      <c r="J62" s="432"/>
      <c r="K62" s="430"/>
      <c r="L62" s="439"/>
      <c r="M62" s="87"/>
    </row>
    <row r="63" spans="2:13">
      <c r="B63" s="85"/>
      <c r="C63" s="433"/>
      <c r="D63" s="432"/>
      <c r="E63" s="430"/>
      <c r="F63" s="431"/>
      <c r="G63" s="431"/>
      <c r="H63" s="431"/>
      <c r="I63" s="431"/>
      <c r="J63" s="432"/>
      <c r="K63" s="430"/>
      <c r="L63" s="439"/>
      <c r="M63" s="87"/>
    </row>
    <row r="64" spans="2:13">
      <c r="B64" s="85"/>
      <c r="C64" s="433"/>
      <c r="D64" s="432"/>
      <c r="E64" s="430"/>
      <c r="F64" s="431"/>
      <c r="G64" s="431"/>
      <c r="H64" s="431"/>
      <c r="I64" s="431"/>
      <c r="J64" s="432"/>
      <c r="K64" s="430"/>
      <c r="L64" s="439"/>
      <c r="M64" s="87"/>
    </row>
    <row r="65" spans="2:13" ht="13.5" thickBot="1">
      <c r="B65" s="85"/>
      <c r="C65" s="437"/>
      <c r="D65" s="438"/>
      <c r="E65" s="440"/>
      <c r="F65" s="442"/>
      <c r="G65" s="442"/>
      <c r="H65" s="442"/>
      <c r="I65" s="442"/>
      <c r="J65" s="438"/>
      <c r="K65" s="440"/>
      <c r="L65" s="441"/>
      <c r="M65" s="87"/>
    </row>
    <row r="66" spans="2:13">
      <c r="B66" s="85"/>
      <c r="C66" s="86"/>
      <c r="D66" s="86"/>
      <c r="E66" s="86"/>
      <c r="F66" s="86"/>
      <c r="G66" s="86"/>
      <c r="H66" s="86"/>
      <c r="I66" s="86"/>
      <c r="J66" s="86"/>
      <c r="K66" s="86"/>
      <c r="L66" s="86"/>
      <c r="M66" s="87"/>
    </row>
    <row r="67" spans="2:13">
      <c r="B67" s="85"/>
      <c r="C67" s="86"/>
      <c r="D67" s="86"/>
      <c r="E67" s="86"/>
      <c r="F67" s="86"/>
      <c r="G67" s="86"/>
      <c r="H67" s="86"/>
      <c r="I67" s="86"/>
      <c r="J67" s="86"/>
      <c r="K67" s="86"/>
      <c r="L67" s="86"/>
      <c r="M67" s="87"/>
    </row>
    <row r="68" spans="2:13">
      <c r="B68" s="88"/>
      <c r="C68" s="89"/>
      <c r="D68" s="89"/>
      <c r="E68" s="89"/>
      <c r="F68" s="89"/>
      <c r="G68" s="89"/>
      <c r="H68" s="89"/>
      <c r="I68" s="89"/>
      <c r="J68" s="89"/>
      <c r="K68" s="89"/>
      <c r="L68" s="89"/>
      <c r="M68" s="90"/>
    </row>
  </sheetData>
  <mergeCells count="61">
    <mergeCell ref="C55:D55"/>
    <mergeCell ref="C56:D56"/>
    <mergeCell ref="J47:M47"/>
    <mergeCell ref="C53:D53"/>
    <mergeCell ref="K62:L62"/>
    <mergeCell ref="K63:L63"/>
    <mergeCell ref="E63:J63"/>
    <mergeCell ref="E53:J53"/>
    <mergeCell ref="E54:J54"/>
    <mergeCell ref="E55:J55"/>
    <mergeCell ref="E56:J56"/>
    <mergeCell ref="E57:J57"/>
    <mergeCell ref="E58:J58"/>
    <mergeCell ref="C65:D65"/>
    <mergeCell ref="K64:L64"/>
    <mergeCell ref="K65:L65"/>
    <mergeCell ref="E65:J65"/>
    <mergeCell ref="K53:L53"/>
    <mergeCell ref="K54:L54"/>
    <mergeCell ref="K55:L55"/>
    <mergeCell ref="K56:L56"/>
    <mergeCell ref="K57:L57"/>
    <mergeCell ref="K58:L58"/>
    <mergeCell ref="K59:L59"/>
    <mergeCell ref="K60:L60"/>
    <mergeCell ref="K61:L61"/>
    <mergeCell ref="E59:J59"/>
    <mergeCell ref="E60:J60"/>
    <mergeCell ref="E61:J61"/>
    <mergeCell ref="B20:E20"/>
    <mergeCell ref="F20:I20"/>
    <mergeCell ref="B47:E47"/>
    <mergeCell ref="F47:I47"/>
    <mergeCell ref="E64:J64"/>
    <mergeCell ref="C62:D62"/>
    <mergeCell ref="C63:D63"/>
    <mergeCell ref="C64:D64"/>
    <mergeCell ref="E62:J62"/>
    <mergeCell ref="C58:D58"/>
    <mergeCell ref="C59:D59"/>
    <mergeCell ref="C60:D60"/>
    <mergeCell ref="C61:D61"/>
    <mergeCell ref="C27:L39"/>
    <mergeCell ref="C57:D57"/>
    <mergeCell ref="C54:D54"/>
    <mergeCell ref="B5:E5"/>
    <mergeCell ref="J5:M5"/>
    <mergeCell ref="B2:E3"/>
    <mergeCell ref="J20:M20"/>
    <mergeCell ref="F5:I5"/>
    <mergeCell ref="G9:L10"/>
    <mergeCell ref="B9:F10"/>
    <mergeCell ref="B7:F8"/>
    <mergeCell ref="B11:F12"/>
    <mergeCell ref="B15:F18"/>
    <mergeCell ref="G17:L18"/>
    <mergeCell ref="G15:L16"/>
    <mergeCell ref="G11:L12"/>
    <mergeCell ref="G7:L8"/>
    <mergeCell ref="G13:L14"/>
    <mergeCell ref="B13:F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AY59"/>
  <sheetViews>
    <sheetView topLeftCell="A3" zoomScale="85" zoomScaleNormal="85" workbookViewId="0">
      <selection activeCell="C24" sqref="C24"/>
    </sheetView>
  </sheetViews>
  <sheetFormatPr defaultColWidth="11.5703125" defaultRowHeight="14.25"/>
  <cols>
    <col min="1" max="1" width="14.85546875" style="173" customWidth="1"/>
    <col min="2" max="2" width="38.7109375" style="3" customWidth="1"/>
    <col min="3" max="3" width="16.85546875" style="3" customWidth="1"/>
    <col min="4" max="4" width="17" style="3" customWidth="1"/>
    <col min="5" max="8" width="16" style="3" customWidth="1"/>
    <col min="9" max="10" width="13.42578125" style="3" customWidth="1"/>
    <col min="11" max="11" width="17" style="3" customWidth="1"/>
    <col min="12" max="12" width="12.7109375" style="3" customWidth="1"/>
    <col min="13" max="21" width="10.85546875" style="3" customWidth="1"/>
    <col min="22" max="51" width="11.42578125" style="3"/>
    <col min="52" max="16384" width="11.5703125" style="3"/>
  </cols>
  <sheetData>
    <row r="1" spans="1:51" s="162" customFormat="1" hidden="1">
      <c r="A1" s="165"/>
    </row>
    <row r="2" spans="1:51" s="162" customFormat="1" hidden="1">
      <c r="A2" s="165"/>
    </row>
    <row r="3" spans="1:51">
      <c r="A3" s="166"/>
    </row>
    <row r="4" spans="1:51">
      <c r="A4" s="167"/>
      <c r="B4" s="459" t="s">
        <v>20</v>
      </c>
      <c r="C4" s="459"/>
      <c r="D4" s="459"/>
      <c r="E4" s="459"/>
      <c r="F4" s="154"/>
      <c r="G4" s="154"/>
      <c r="H4" s="154"/>
      <c r="I4" s="154"/>
      <c r="J4" s="154"/>
      <c r="K4" s="154"/>
      <c r="L4" s="154"/>
      <c r="M4" s="154"/>
      <c r="N4" s="155"/>
    </row>
    <row r="5" spans="1:51">
      <c r="A5" s="168"/>
      <c r="B5" s="460"/>
      <c r="C5" s="460"/>
      <c r="D5" s="460"/>
      <c r="E5" s="460"/>
      <c r="F5" s="156"/>
      <c r="G5" s="156"/>
      <c r="H5" s="156"/>
      <c r="I5" s="156"/>
      <c r="J5" s="156"/>
      <c r="K5" s="156"/>
      <c r="L5" s="156"/>
      <c r="M5" s="156"/>
      <c r="N5" s="157"/>
    </row>
    <row r="6" spans="1:51" ht="15">
      <c r="A6" s="166"/>
      <c r="B6" s="158"/>
      <c r="C6" s="158"/>
      <c r="D6" s="158"/>
      <c r="E6" s="158"/>
    </row>
    <row r="7" spans="1:51" ht="15">
      <c r="A7" s="166"/>
      <c r="B7" s="158"/>
      <c r="C7" s="158"/>
      <c r="D7" s="158"/>
      <c r="E7" s="158"/>
    </row>
    <row r="8" spans="1:51" s="104" customFormat="1" ht="22.5" customHeight="1">
      <c r="A8" s="309"/>
      <c r="B8" s="122" t="s">
        <v>21</v>
      </c>
      <c r="C8" s="400" t="str">
        <f ca="1">IF(COUNTIF(A9:J16,"● ")&gt;0, "●","")</f>
        <v>●</v>
      </c>
      <c r="D8" s="398" t="str">
        <f ca="1">IF(COUNTIF(A9:J16,"● ")&gt;0, " = Input missing from this section","")</f>
        <v xml:space="preserve"> = Input missing from this section</v>
      </c>
      <c r="E8" s="311"/>
      <c r="F8" s="311"/>
      <c r="G8" s="311"/>
      <c r="H8" s="311"/>
      <c r="I8" s="311"/>
      <c r="J8" s="311"/>
      <c r="K8" s="312"/>
      <c r="L8" s="312"/>
      <c r="M8" s="312"/>
      <c r="N8" s="313"/>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51" ht="15">
      <c r="A9" s="166"/>
      <c r="B9" s="159"/>
      <c r="C9" s="159"/>
      <c r="D9" s="159"/>
      <c r="E9" s="159"/>
      <c r="F9" s="158"/>
    </row>
    <row r="10" spans="1:51" ht="15" customHeight="1">
      <c r="A10" s="166"/>
      <c r="B10" s="146" t="s">
        <v>22</v>
      </c>
      <c r="C10" s="355"/>
      <c r="D10" s="159"/>
      <c r="E10" s="159"/>
      <c r="G10" s="315" t="s">
        <v>23</v>
      </c>
      <c r="H10" s="399" t="str">
        <f ca="1">IF(ISNUMBER(Cmix),Cmix,"")</f>
        <v/>
      </c>
      <c r="I10" s="4" t="s">
        <v>24</v>
      </c>
    </row>
    <row r="11" spans="1:51" ht="15" customHeight="1">
      <c r="A11" s="170" t="str">
        <f>IF(ISNUMBER(Count),"","● ")</f>
        <v xml:space="preserve">● </v>
      </c>
      <c r="B11" s="111" t="s">
        <v>25</v>
      </c>
      <c r="C11" s="160"/>
      <c r="D11" s="159"/>
      <c r="E11" s="159"/>
      <c r="F11" s="158"/>
    </row>
    <row r="12" spans="1:51" ht="15">
      <c r="A12" s="166"/>
      <c r="B12" s="159"/>
      <c r="C12" s="159"/>
      <c r="D12" s="159"/>
      <c r="E12" s="159"/>
      <c r="F12" s="158"/>
    </row>
    <row r="13" spans="1:51" ht="15">
      <c r="A13" s="166"/>
      <c r="B13" s="147" t="s">
        <v>26</v>
      </c>
      <c r="C13" s="286" t="s">
        <v>27</v>
      </c>
      <c r="D13" s="286" t="s">
        <v>28</v>
      </c>
      <c r="E13" s="159"/>
      <c r="F13" s="147" t="s">
        <v>29</v>
      </c>
      <c r="G13" s="286" t="s">
        <v>27</v>
      </c>
      <c r="H13" s="286" t="s">
        <v>28</v>
      </c>
    </row>
    <row r="14" spans="1:51" ht="16.5" customHeight="1">
      <c r="A14" s="290" t="str">
        <f>IF(COUNTIF(C14:D14,"")&gt;0,"● ","")</f>
        <v xml:space="preserve">● </v>
      </c>
      <c r="B14" s="146" t="s">
        <v>30</v>
      </c>
      <c r="C14" s="160"/>
      <c r="D14" s="160"/>
      <c r="E14" s="290" t="str">
        <f>IF(OR(
          AND(OR(C14="Dose-response",C14="Limit test"),NOT(ISNUMBER(G14))),
          AND(OR(D14="Dose-response",D14="Limit test"),NOT(ISNUMBER(H14)))),
      "● ","")</f>
        <v/>
      </c>
      <c r="F14" s="4" t="s">
        <v>31</v>
      </c>
      <c r="G14" s="408"/>
      <c r="H14" s="408"/>
      <c r="I14" s="4" t="s">
        <v>32</v>
      </c>
    </row>
    <row r="15" spans="1:51" ht="16.5" customHeight="1">
      <c r="A15" s="290" t="str">
        <f>IF(COUNTIF(C15:D15,"")&gt;0,"● ","")</f>
        <v xml:space="preserve">● </v>
      </c>
      <c r="B15" s="146" t="s">
        <v>33</v>
      </c>
      <c r="C15" s="160"/>
      <c r="D15" s="160"/>
      <c r="E15" s="290" t="str">
        <f>IF(OR(
          AND(OR(C15="Dose-response",C15="Limit test"),NOT(ISNUMBER(G15))),
          AND(OR(D15="Dose-response",D15="Limit test"),NOT(ISNUMBER(H15)))),
      "● ","")</f>
        <v/>
      </c>
      <c r="F15" s="4" t="s">
        <v>34</v>
      </c>
      <c r="G15" s="408"/>
      <c r="H15" s="408"/>
      <c r="I15" s="4" t="s">
        <v>35</v>
      </c>
    </row>
    <row r="16" spans="1:51" ht="15">
      <c r="A16" s="166"/>
      <c r="B16" s="159"/>
      <c r="C16" s="159"/>
      <c r="D16" s="159"/>
      <c r="E16" s="159"/>
      <c r="F16" s="158"/>
    </row>
    <row r="17" spans="1:16" ht="21.75" customHeight="1">
      <c r="A17" s="309"/>
      <c r="B17" s="122" t="s">
        <v>36</v>
      </c>
      <c r="C17" s="310" t="str">
        <f ca="1">IF(COUNTIF(A22:A28,"● ")&gt;0, "●","")</f>
        <v/>
      </c>
      <c r="D17" s="311" t="str">
        <f ca="1">IF(COUNTIF(A22:A28,"● ")&gt;0, "= Input missing from this section","")</f>
        <v/>
      </c>
      <c r="E17" s="311"/>
      <c r="F17" s="311"/>
      <c r="G17" s="311"/>
      <c r="H17" s="311"/>
      <c r="I17" s="311"/>
      <c r="J17" s="311"/>
      <c r="K17" s="312"/>
      <c r="L17" s="312"/>
      <c r="M17" s="312"/>
      <c r="N17" s="313"/>
    </row>
    <row r="18" spans="1:16" ht="15">
      <c r="A18" s="166"/>
      <c r="B18" s="159"/>
      <c r="C18" s="159"/>
      <c r="D18" s="159"/>
      <c r="E18" s="159"/>
      <c r="F18" s="158"/>
    </row>
    <row r="19" spans="1:16" ht="27" customHeight="1">
      <c r="A19" s="169"/>
      <c r="B19" s="493" t="s">
        <v>37</v>
      </c>
      <c r="C19" s="493"/>
      <c r="D19" s="493"/>
      <c r="E19" s="493"/>
      <c r="F19" s="493"/>
      <c r="G19" s="493"/>
      <c r="H19" s="493"/>
    </row>
    <row r="20" spans="1:16" ht="19.5" customHeight="1">
      <c r="A20" s="166"/>
      <c r="B20" s="4"/>
      <c r="C20" s="285" t="str">
        <f>IF($C$11&gt;=COLUMN(D21)-COLUMN($C$21),COLUMN(D21)-COLUMN($C$21),"")</f>
        <v/>
      </c>
      <c r="D20" s="285" t="str">
        <f>IF($C$11&gt;=COLUMN(E21)-COLUMN($C$21),COLUMN(E21)-COLUMN($C$21),"")</f>
        <v/>
      </c>
      <c r="E20" s="285" t="str">
        <f>IF($C$11&gt;=COLUMN(F21)-COLUMN($C$21),COLUMN(F21)-COLUMN($C$21),"")</f>
        <v/>
      </c>
      <c r="F20" s="285" t="str">
        <f>IF($C$11&gt;=COLUMN(G21)-COLUMN($C$21),COLUMN(G21)-COLUMN($C$21),"")</f>
        <v/>
      </c>
      <c r="G20" s="285" t="str">
        <f>IF($C$11&gt;=COLUMN(H21)-COLUMN($C$21),COLUMN(H21)-COLUMN($C$21),"")</f>
        <v/>
      </c>
      <c r="O20" s="209"/>
    </row>
    <row r="21" spans="1:16" ht="18" customHeight="1">
      <c r="A21" s="171"/>
      <c r="B21" s="147"/>
      <c r="C21" s="403" t="str">
        <f>IF(ISNUMBER(C20),"Substance "&amp;C20,"")</f>
        <v/>
      </c>
      <c r="D21" s="403" t="str">
        <f>IF(ISNUMBER(D20),"Substance "&amp;D20,"")</f>
        <v/>
      </c>
      <c r="E21" s="403" t="str">
        <f>IF(ISNUMBER(E20),"Substance "&amp;E20,"")</f>
        <v/>
      </c>
      <c r="F21" s="403" t="str">
        <f>IF(ISNUMBER(F20),"Substance "&amp;F20,"")</f>
        <v/>
      </c>
      <c r="G21" s="403" t="str">
        <f>IF(ISNUMBER(G20),"Substance "&amp;G20,"")</f>
        <v/>
      </c>
      <c r="I21" s="315"/>
      <c r="O21" s="209"/>
    </row>
    <row r="22" spans="1:16" ht="15.4" customHeight="1">
      <c r="A22" s="287"/>
      <c r="B22" s="146" t="s">
        <v>38</v>
      </c>
      <c r="C22" s="161"/>
      <c r="D22" s="145"/>
      <c r="E22" s="145"/>
      <c r="F22" s="145"/>
      <c r="G22" s="145"/>
      <c r="O22" s="209"/>
    </row>
    <row r="23" spans="1:16" ht="15.4" customHeight="1">
      <c r="A23" s="287" t="str">
        <f t="array" aca="1" ref="A23" ca="1">IF(COUNTA(OFFSET(B23,,1,,Count))&lt;Count,"● ","")</f>
        <v/>
      </c>
      <c r="B23" s="146" t="s">
        <v>39</v>
      </c>
      <c r="C23" s="407"/>
      <c r="D23" s="405"/>
      <c r="E23" s="405"/>
      <c r="F23" s="405"/>
      <c r="G23" s="145"/>
      <c r="O23" s="209"/>
    </row>
    <row r="24" spans="1:16" ht="15.4" customHeight="1">
      <c r="A24" s="172"/>
      <c r="B24" s="146" t="s">
        <v>40</v>
      </c>
      <c r="C24" s="401" t="str">
        <f ca="1">IFERROR(IF(AND(ISNUMBER(Xmix),ISNUMBER(C20)),INDEX(Active[Xas],C20),""),"")</f>
        <v/>
      </c>
      <c r="D24" s="402" t="str">
        <f ca="1">IFERROR(IF(AND(ISNUMBER(Xmix),ISNUMBER(D20)),INDEX(Active[Xas],D20),""),"")</f>
        <v/>
      </c>
      <c r="E24" s="402" t="str">
        <f ca="1">IFERROR(IF(AND(ISNUMBER(Xmix),ISNUMBER(E20)),INDEX(Active[Xas],E20),""),"")</f>
        <v/>
      </c>
      <c r="F24" s="402" t="str">
        <f ca="1">IFERROR(IF(AND(ISNUMBER(Xmix),ISNUMBER(F20)),INDEX(Active[Xas],F20),""),"")</f>
        <v/>
      </c>
      <c r="G24" s="402" t="str">
        <f ca="1">IFERROR(IF(AND(ISNUMBER(Xmix),ISNUMBER(G20)),INDEX(Active[Xas],G20),""),"")</f>
        <v/>
      </c>
      <c r="H24" s="25"/>
      <c r="O24" s="209"/>
    </row>
    <row r="25" spans="1:16" s="4" customFormat="1" ht="17.25" customHeight="1">
      <c r="A25" s="170" t="str">
        <f t="array" aca="1" ref="A25" ca="1">IF(COUNTA(OFFSET(B25,,1,,Count))&lt;Count,"● ","")</f>
        <v/>
      </c>
      <c r="B25" s="146" t="s">
        <v>41</v>
      </c>
      <c r="C25" s="404"/>
      <c r="D25" s="405"/>
      <c r="E25" s="405"/>
      <c r="F25" s="405"/>
      <c r="G25" s="405"/>
      <c r="P25" s="210"/>
    </row>
    <row r="26" spans="1:16" s="4" customFormat="1" ht="17.850000000000001" customHeight="1">
      <c r="A26" s="170" t="str">
        <f t="array" aca="1" ref="A26" ca="1">IF(COUNTA(OFFSET(B26,,1,,Count))&lt;Count, "● ","")</f>
        <v/>
      </c>
      <c r="B26" s="146" t="s">
        <v>42</v>
      </c>
      <c r="C26" s="404"/>
      <c r="D26" s="405"/>
      <c r="E26" s="405"/>
      <c r="F26" s="405"/>
      <c r="G26" s="405"/>
    </row>
    <row r="27" spans="1:16" s="4" customFormat="1" ht="17.850000000000001" customHeight="1">
      <c r="A27" s="170" t="str">
        <f t="array" aca="1" ref="A27" ca="1">IF(COUNTA(OFFSET(B27,,1,,Count))&lt;Count,"● ","")</f>
        <v/>
      </c>
      <c r="B27" s="146" t="s">
        <v>43</v>
      </c>
      <c r="C27" s="406"/>
      <c r="D27" s="405"/>
      <c r="E27" s="405"/>
      <c r="F27" s="405"/>
      <c r="G27" s="405"/>
    </row>
    <row r="28" spans="1:16" s="4" customFormat="1" ht="17.850000000000001" customHeight="1">
      <c r="A28" s="170" t="str">
        <f t="array" aca="1" ref="A28" ca="1">IF(COUNTA(OFFSET(B28,,1,,Count))&lt;Count,"● ","")</f>
        <v/>
      </c>
      <c r="B28" s="146" t="s">
        <v>44</v>
      </c>
      <c r="C28" s="406"/>
      <c r="D28" s="405"/>
      <c r="E28" s="405"/>
      <c r="F28" s="405"/>
      <c r="G28" s="405"/>
    </row>
    <row r="30" spans="1:16">
      <c r="B30" s="151"/>
      <c r="C30" s="152"/>
      <c r="I30" s="25"/>
      <c r="J30" s="25"/>
    </row>
    <row r="31" spans="1:16" ht="21.75" customHeight="1">
      <c r="A31" s="309"/>
      <c r="B31" s="122" t="s">
        <v>45</v>
      </c>
      <c r="C31" s="311"/>
      <c r="D31" s="398" t="str">
        <f>COUNTIF(C35:H35,"●")&amp;" scenarios have been fully defined"</f>
        <v>0 scenarios have been fully defined</v>
      </c>
      <c r="E31" s="311"/>
      <c r="F31" s="311"/>
      <c r="G31" s="311"/>
      <c r="H31" s="311"/>
      <c r="I31" s="311"/>
      <c r="J31" s="311"/>
      <c r="K31" s="312"/>
      <c r="L31" s="312"/>
      <c r="M31" s="312"/>
      <c r="N31" s="313"/>
    </row>
    <row r="32" spans="1:16">
      <c r="B32" s="151"/>
      <c r="C32" s="152"/>
      <c r="I32" s="25"/>
      <c r="J32" s="25"/>
    </row>
    <row r="33" spans="1:21">
      <c r="B33" s="493" t="s">
        <v>46</v>
      </c>
      <c r="C33" s="493"/>
      <c r="D33" s="493"/>
      <c r="E33" s="493"/>
      <c r="F33" s="493"/>
      <c r="G33" s="493"/>
      <c r="H33" s="493"/>
      <c r="I33" s="25"/>
      <c r="J33" s="25"/>
    </row>
    <row r="34" spans="1:21" ht="61.5" customHeight="1">
      <c r="B34" s="493"/>
      <c r="C34" s="493"/>
      <c r="D34" s="493"/>
      <c r="E34" s="493"/>
      <c r="F34" s="493"/>
      <c r="G34" s="493"/>
      <c r="H34" s="493"/>
      <c r="I34" s="25"/>
      <c r="J34" s="25"/>
    </row>
    <row r="35" spans="1:21" ht="28.5" customHeight="1">
      <c r="B35" s="26"/>
      <c r="C35" s="206" t="str">
        <f>IF(AND(
          OR(
                   AND(C37&lt;&gt;"",ISNUMBER(C38),C39=1),
                   AND(C37&lt;&gt;"",ISNUMBER(C38),C39&gt;1,ISNUMBER(C40))),
           COUNTIF($B$37:B37,C37)=0),
          "●","")</f>
        <v/>
      </c>
      <c r="D35" s="206" t="str">
        <f>IF(AND(
          OR(
                   AND(D37&lt;&gt;"",ISNUMBER(D38),D39=1),
                   AND(D37&lt;&gt;"",ISNUMBER(D38),D39&gt;1,ISNUMBER(D40))),
           COUNTIF($B$37:C37,D37)=0),
          "●","")</f>
        <v/>
      </c>
      <c r="E35" s="206" t="str">
        <f>IF(AND(
          OR(
                   AND(E37&lt;&gt;"",ISNUMBER(E38),E39=1),
                   AND(E37&lt;&gt;"",ISNUMBER(E38),E39&gt;1,ISNUMBER(E40))),
           COUNTIF($B$37:D37,E37)=0),
          "●","")</f>
        <v/>
      </c>
      <c r="F35" s="206" t="str">
        <f>IF(AND(
          OR(
                   AND(F37&lt;&gt;"",ISNUMBER(F38),F39=1),
                   AND(F37&lt;&gt;"",ISNUMBER(F38),F39&gt;1,ISNUMBER(F40))),
           COUNTIF($B$37:E37,F37)=0),
          "●","")</f>
        <v/>
      </c>
      <c r="G35" s="206" t="str">
        <f>IF(AND(
          OR(
                   AND(G37&lt;&gt;"",ISNUMBER(G38),G39=1),
                   AND(G37&lt;&gt;"",ISNUMBER(G38),G39&gt;1,ISNUMBER(G40))),
           COUNTIF($B$37:F37,G37)=0),
          "●","")</f>
        <v/>
      </c>
      <c r="H35" s="206" t="str">
        <f>IF(AND(
          OR(
                   AND(H37&lt;&gt;"",ISNUMBER(H38),H39=1),
                   AND(H37&lt;&gt;"",ISNUMBER(H38),H39&gt;1,ISNUMBER(H40))),
           COUNTIF($B$37:G37,H37)=0),
          "●","")</f>
        <v/>
      </c>
      <c r="K35" s="153"/>
    </row>
    <row r="36" spans="1:21" ht="17.649999999999999" customHeight="1">
      <c r="B36" s="147" t="s">
        <v>47</v>
      </c>
      <c r="C36" s="27" t="s">
        <v>48</v>
      </c>
      <c r="D36" s="27" t="s">
        <v>49</v>
      </c>
      <c r="E36" s="27" t="s">
        <v>50</v>
      </c>
      <c r="F36" s="27" t="s">
        <v>51</v>
      </c>
      <c r="G36" s="27" t="s">
        <v>52</v>
      </c>
      <c r="H36" s="27" t="s">
        <v>53</v>
      </c>
      <c r="J36" s="150"/>
    </row>
    <row r="37" spans="1:21" ht="38.25" customHeight="1">
      <c r="B37" s="146" t="s">
        <v>54</v>
      </c>
      <c r="C37" s="160"/>
      <c r="D37" s="160"/>
      <c r="E37" s="160"/>
      <c r="F37" s="160"/>
      <c r="G37" s="160"/>
      <c r="H37" s="160"/>
      <c r="J37" s="150"/>
      <c r="L37" s="458" t="s">
        <v>55</v>
      </c>
      <c r="M37" s="458"/>
      <c r="N37" s="458"/>
      <c r="O37" s="458"/>
      <c r="P37" s="458"/>
      <c r="Q37" s="458"/>
      <c r="R37" s="458"/>
      <c r="S37" s="458"/>
      <c r="T37" s="458"/>
      <c r="U37" s="458"/>
    </row>
    <row r="38" spans="1:21" ht="20.85" customHeight="1">
      <c r="B38" s="146" t="s">
        <v>56</v>
      </c>
      <c r="C38" s="160"/>
      <c r="D38" s="160"/>
      <c r="E38" s="160"/>
      <c r="F38" s="160"/>
      <c r="G38" s="160"/>
      <c r="H38" s="160"/>
      <c r="L38" s="316" t="s">
        <v>57</v>
      </c>
      <c r="M38" s="318">
        <v>1</v>
      </c>
      <c r="N38" s="318">
        <v>2</v>
      </c>
      <c r="O38" s="318">
        <v>3</v>
      </c>
      <c r="P38" s="318">
        <v>4</v>
      </c>
      <c r="Q38" s="318">
        <v>5</v>
      </c>
      <c r="R38" s="318">
        <v>6</v>
      </c>
      <c r="S38" s="318">
        <v>7</v>
      </c>
      <c r="T38" s="318">
        <v>8</v>
      </c>
      <c r="U38" s="317" t="s">
        <v>58</v>
      </c>
    </row>
    <row r="39" spans="1:21" ht="20.85" customHeight="1">
      <c r="B39" s="146" t="s">
        <v>59</v>
      </c>
      <c r="C39" s="160"/>
      <c r="D39" s="160"/>
      <c r="E39" s="160"/>
      <c r="F39" s="160"/>
      <c r="G39" s="160"/>
      <c r="H39" s="160"/>
      <c r="L39" s="319">
        <v>7</v>
      </c>
      <c r="M39" s="319">
        <v>1</v>
      </c>
      <c r="N39" s="319">
        <v>1.4</v>
      </c>
      <c r="O39" s="319">
        <v>1.6</v>
      </c>
      <c r="P39" s="319">
        <v>1.8</v>
      </c>
      <c r="Q39" s="319">
        <v>1.9</v>
      </c>
      <c r="R39" s="319">
        <v>1.9</v>
      </c>
      <c r="S39" s="319">
        <v>1.9</v>
      </c>
      <c r="T39" s="319">
        <v>1.9</v>
      </c>
      <c r="U39" s="320">
        <v>2</v>
      </c>
    </row>
    <row r="40" spans="1:21" ht="20.85" customHeight="1">
      <c r="B40" s="146" t="s">
        <v>60</v>
      </c>
      <c r="C40" s="160"/>
      <c r="D40" s="160"/>
      <c r="E40" s="160"/>
      <c r="F40" s="160"/>
      <c r="G40" s="160"/>
      <c r="H40" s="160"/>
      <c r="L40" s="319">
        <v>10</v>
      </c>
      <c r="M40" s="319">
        <v>1</v>
      </c>
      <c r="N40" s="319">
        <v>1.3</v>
      </c>
      <c r="O40" s="319">
        <v>1.5</v>
      </c>
      <c r="P40" s="319">
        <v>1.5</v>
      </c>
      <c r="Q40" s="319">
        <v>1.6</v>
      </c>
      <c r="R40" s="319">
        <v>1.6</v>
      </c>
      <c r="S40" s="319">
        <v>1.6</v>
      </c>
      <c r="T40" s="319">
        <v>1.6</v>
      </c>
      <c r="U40" s="320">
        <v>1.6</v>
      </c>
    </row>
    <row r="41" spans="1:21" ht="18.399999999999999" customHeight="1">
      <c r="B41" s="146" t="s">
        <v>61</v>
      </c>
      <c r="C41" s="176" t="str">
        <f>IFERROR(
    IF(OR(C39=1,AND(ISNUMBER(C40),ISNUMBER(C39))),
        IF(C39=1,1,
            INDEX($M$39:$U$41,
                 IF(C40&lt;=7,1,
                 IF(C40&lt;=10,2,3)),
                 IF(C39&gt;8,9,MATCH(C39,$M$38:$T$38,1)))),""),"")</f>
        <v/>
      </c>
      <c r="D41" s="176" t="str">
        <f t="shared" ref="D41:H41" si="0">IFERROR(
    IF(OR(D39=1,AND(ISNUMBER(D40),ISNUMBER(D39))),
        IF(D39=1,1,
            INDEX($M$39:$U$41,
                 IF(D40&lt;=7,1,
                 IF(D40&lt;=10,2,3)),
                 IF(D39&gt;8,9,MATCH(D39,$M$38:$T$38,1)))),""),"")</f>
        <v/>
      </c>
      <c r="E41" s="176" t="str">
        <f>IFERROR(
    IF(OR(E39=1,AND(ISNUMBER(E40),ISNUMBER(E39))),
        IF(E39=1,1,
            INDEX($M$39:$U$41,
                 IF(E40&lt;=7,1,
                 IF(E40&lt;=10,2,3)),
                 IF(E39&gt;8,9,MATCH(E39,$M$38:$T$38,1)))),""),"")</f>
        <v/>
      </c>
      <c r="F41" s="176" t="str">
        <f t="shared" si="0"/>
        <v/>
      </c>
      <c r="G41" s="176" t="str">
        <f t="shared" si="0"/>
        <v/>
      </c>
      <c r="H41" s="177" t="str">
        <f t="shared" si="0"/>
        <v/>
      </c>
      <c r="L41" s="321">
        <v>14</v>
      </c>
      <c r="M41" s="321">
        <v>1</v>
      </c>
      <c r="N41" s="321">
        <v>1.2</v>
      </c>
      <c r="O41" s="321">
        <v>1.3</v>
      </c>
      <c r="P41" s="321">
        <v>1.3</v>
      </c>
      <c r="Q41" s="321">
        <v>1.4</v>
      </c>
      <c r="R41" s="321">
        <v>1.4</v>
      </c>
      <c r="S41" s="321">
        <v>1.4</v>
      </c>
      <c r="T41" s="321">
        <v>1.4</v>
      </c>
      <c r="U41" s="322">
        <v>1.4</v>
      </c>
    </row>
    <row r="42" spans="1:21" ht="18.75" customHeight="1">
      <c r="B42" s="146" t="s">
        <v>62</v>
      </c>
      <c r="C42" s="176" t="str">
        <f>IFERROR(
    IF(OR(C39=1,AND(ISNUMBER(C40),ISNUMBER(C39))),
        IF(C39=1,1,
            INDEX($M$44:$U$46,
                 IF(C40&lt;=7,1,
                 IF(C40&lt;=10,2,3)),
                 IF(C39&gt;8,9,MATCH(C39,$M$43:$T$43,1)))),""),"")</f>
        <v/>
      </c>
      <c r="D42" s="176" t="str">
        <f t="shared" ref="D42:H42" si="1">IFERROR(
    IF(OR(D39=1,AND(ISNUMBER(D40),ISNUMBER(D39))),
        IF(D39=1,1,
            INDEX($M$44:$U$46,
                 IF(D40&lt;=7,1,
                 IF(D40&lt;=10,2,3)),
                 IF(D39&gt;8,9,MATCH(D39,$M$43:$T$43,1)))),""),"")</f>
        <v/>
      </c>
      <c r="E42" s="176" t="str">
        <f t="shared" si="1"/>
        <v/>
      </c>
      <c r="F42" s="176" t="str">
        <f t="shared" si="1"/>
        <v/>
      </c>
      <c r="G42" s="176" t="str">
        <f t="shared" si="1"/>
        <v/>
      </c>
      <c r="H42" s="177" t="str">
        <f t="shared" si="1"/>
        <v/>
      </c>
      <c r="L42" s="458" t="s">
        <v>63</v>
      </c>
      <c r="M42" s="458"/>
      <c r="N42" s="458"/>
      <c r="O42" s="458"/>
      <c r="P42" s="458"/>
      <c r="Q42" s="458"/>
      <c r="R42" s="458"/>
      <c r="S42" s="458"/>
      <c r="T42" s="458"/>
      <c r="U42" s="458"/>
    </row>
    <row r="43" spans="1:21" ht="20.85" customHeight="1">
      <c r="B43" s="146" t="s">
        <v>64</v>
      </c>
      <c r="C43" s="176" t="str">
        <f>IF(OR(C39=1, AND(C39&gt;1,ISNUMBER(C40))),0.53,"")</f>
        <v/>
      </c>
      <c r="D43" s="176" t="str">
        <f>IF(OR(D39=1, AND(D39&gt;1,ISNUMBER(D40))),0.53,"")</f>
        <v/>
      </c>
      <c r="E43" s="176" t="str">
        <f t="shared" ref="E43:H43" si="2">IF(OR(E39=1, AND(E39&gt;1,ISNUMBER(E40))),0.53,"")</f>
        <v/>
      </c>
      <c r="F43" s="176" t="str">
        <f t="shared" si="2"/>
        <v/>
      </c>
      <c r="G43" s="176" t="str">
        <f t="shared" si="2"/>
        <v/>
      </c>
      <c r="H43" s="177" t="str">
        <f t="shared" si="2"/>
        <v/>
      </c>
      <c r="L43" s="316" t="s">
        <v>57</v>
      </c>
      <c r="M43" s="318">
        <v>1</v>
      </c>
      <c r="N43" s="318">
        <v>2</v>
      </c>
      <c r="O43" s="318">
        <v>3</v>
      </c>
      <c r="P43" s="318">
        <v>4</v>
      </c>
      <c r="Q43" s="318">
        <v>5</v>
      </c>
      <c r="R43" s="318">
        <v>6</v>
      </c>
      <c r="S43" s="318">
        <v>7</v>
      </c>
      <c r="T43" s="318">
        <v>8</v>
      </c>
      <c r="U43" s="317" t="s">
        <v>65</v>
      </c>
    </row>
    <row r="44" spans="1:21" ht="20.85" customHeight="1">
      <c r="B44" s="146" t="s">
        <v>66</v>
      </c>
      <c r="C44" s="176" t="str">
        <f>IF(ISNUMBER(C42),C42*C43,"")</f>
        <v/>
      </c>
      <c r="D44" s="176" t="str">
        <f t="shared" ref="D44:H44" si="3">IF(ISNUMBER(D42),D42*D43,"")</f>
        <v/>
      </c>
      <c r="E44" s="176" t="str">
        <f t="shared" si="3"/>
        <v/>
      </c>
      <c r="F44" s="176" t="str">
        <f t="shared" si="3"/>
        <v/>
      </c>
      <c r="G44" s="177" t="str">
        <f t="shared" si="3"/>
        <v/>
      </c>
      <c r="H44" s="177" t="str">
        <f t="shared" si="3"/>
        <v/>
      </c>
      <c r="L44" s="319">
        <v>7</v>
      </c>
      <c r="M44" s="319">
        <v>1</v>
      </c>
      <c r="N44" s="319">
        <v>1.6</v>
      </c>
      <c r="O44" s="319">
        <v>2</v>
      </c>
      <c r="P44" s="319">
        <v>2.2000000000000002</v>
      </c>
      <c r="Q44" s="319">
        <v>2.4</v>
      </c>
      <c r="R44" s="319">
        <v>2.5</v>
      </c>
      <c r="S44" s="319">
        <v>2.5</v>
      </c>
      <c r="T44" s="319">
        <v>2.5</v>
      </c>
      <c r="U44" s="320">
        <v>2.6</v>
      </c>
    </row>
    <row r="45" spans="1:21" ht="24.75" customHeight="1">
      <c r="B45" s="147" t="s">
        <v>67</v>
      </c>
      <c r="C45" s="148" t="s">
        <v>68</v>
      </c>
      <c r="D45" s="148" t="s">
        <v>68</v>
      </c>
      <c r="E45" s="148" t="s">
        <v>68</v>
      </c>
      <c r="F45" s="148" t="s">
        <v>68</v>
      </c>
      <c r="G45" s="148" t="s">
        <v>68</v>
      </c>
      <c r="H45" s="148" t="s">
        <v>68</v>
      </c>
      <c r="L45" s="319">
        <v>10</v>
      </c>
      <c r="M45" s="319">
        <v>1</v>
      </c>
      <c r="N45" s="319">
        <v>1.5</v>
      </c>
      <c r="O45" s="319">
        <v>1.8</v>
      </c>
      <c r="P45" s="319">
        <v>1.9</v>
      </c>
      <c r="Q45" s="319">
        <v>1.9</v>
      </c>
      <c r="R45" s="319">
        <v>2</v>
      </c>
      <c r="S45" s="319">
        <v>2</v>
      </c>
      <c r="T45" s="319">
        <v>2</v>
      </c>
      <c r="U45" s="320">
        <v>2</v>
      </c>
    </row>
    <row r="46" spans="1:21" ht="22.5" customHeight="1">
      <c r="A46" s="174"/>
      <c r="B46" s="356" t="str">
        <f>Name_form&amp; " (kg ∑(a.s.i)/ha)"</f>
        <v>Product (kg ∑(a.s.i)/ha)</v>
      </c>
      <c r="C46" s="176" t="str">
        <f ca="1">IF(AND(C35="●",(C38),ISNUMBER(Cmix)),C38*(Cmix/1000),"")</f>
        <v/>
      </c>
      <c r="D46" s="176" t="str">
        <f t="shared" ref="D46:H46" ca="1" si="4">IF(AND(D35="●",(D38),ISNUMBER(Cmix)),D38*(Cmix/1000),"")</f>
        <v/>
      </c>
      <c r="E46" s="176" t="str">
        <f t="shared" ca="1" si="4"/>
        <v/>
      </c>
      <c r="F46" s="176" t="str">
        <f t="shared" ca="1" si="4"/>
        <v/>
      </c>
      <c r="G46" s="177" t="str">
        <f t="shared" ca="1" si="4"/>
        <v/>
      </c>
      <c r="H46" s="177" t="str">
        <f t="shared" ca="1" si="4"/>
        <v/>
      </c>
      <c r="K46" s="149"/>
      <c r="L46" s="321">
        <v>14</v>
      </c>
      <c r="M46" s="321">
        <v>1</v>
      </c>
      <c r="N46" s="321">
        <v>1.4</v>
      </c>
      <c r="O46" s="321">
        <v>1.5</v>
      </c>
      <c r="P46" s="321">
        <v>1.6</v>
      </c>
      <c r="Q46" s="321">
        <v>1.6</v>
      </c>
      <c r="R46" s="321">
        <v>1.6</v>
      </c>
      <c r="S46" s="321">
        <v>1.6</v>
      </c>
      <c r="T46" s="321">
        <v>1.6</v>
      </c>
      <c r="U46" s="322">
        <v>1.6</v>
      </c>
    </row>
    <row r="47" spans="1:21" ht="20.45" customHeight="1">
      <c r="A47" s="288">
        <v>1</v>
      </c>
      <c r="B47" s="175" t="str">
        <f>IF(Active1=TRUE, INDEX(Active[Name],A47)&amp;" (kg a.s./ha)","")</f>
        <v/>
      </c>
      <c r="C47" s="178" t="str">
        <f>IF(AND(C$35="●",Active1=TRUE,ISNUMBER(C$38)),(C$38*$C$23)/1000,"")</f>
        <v/>
      </c>
      <c r="D47" s="178" t="str">
        <f>IF(AND(D$35="●",Active1=TRUE,ISNUMBER(D$38)),(D$38*C$23)/1000,"")</f>
        <v/>
      </c>
      <c r="E47" s="178" t="str">
        <f t="shared" ref="E47:H47" si="5">IF(AND(E$35="●",Active1=TRUE,ISNUMBER(E$38)),(E$38*$C$23)/1000,"")</f>
        <v/>
      </c>
      <c r="F47" s="178" t="str">
        <f t="shared" si="5"/>
        <v/>
      </c>
      <c r="G47" s="178" t="str">
        <f t="shared" si="5"/>
        <v/>
      </c>
      <c r="H47" s="178" t="str">
        <f t="shared" si="5"/>
        <v/>
      </c>
    </row>
    <row r="48" spans="1:21" ht="20.45" customHeight="1">
      <c r="A48" s="288">
        <v>2</v>
      </c>
      <c r="B48" s="175" t="str">
        <f>IF(Active2=TRUE, INDEX(Active[Name],A48)&amp;" (kg a.s./ha)","")</f>
        <v/>
      </c>
      <c r="C48" s="178" t="str">
        <f>IF(AND(C$35="●",Active2=TRUE,ISNUMBER(C$38)),(C$38*$D$23)/1000,"")</f>
        <v/>
      </c>
      <c r="D48" s="178" t="str">
        <f t="shared" ref="D48:H48" si="6">IF(AND(D$35="●",Active2=TRUE,ISNUMBER(D$38)),(D$38*$D$23)/1000,"")</f>
        <v/>
      </c>
      <c r="E48" s="178" t="str">
        <f t="shared" si="6"/>
        <v/>
      </c>
      <c r="F48" s="178" t="str">
        <f t="shared" si="6"/>
        <v/>
      </c>
      <c r="G48" s="178" t="str">
        <f t="shared" si="6"/>
        <v/>
      </c>
      <c r="H48" s="178" t="str">
        <f t="shared" si="6"/>
        <v/>
      </c>
    </row>
    <row r="49" spans="1:17" ht="20.45" customHeight="1">
      <c r="A49" s="288">
        <v>3</v>
      </c>
      <c r="B49" s="175" t="str">
        <f>IF(Active3=TRUE, INDEX(Active[Name],A49)&amp;" (kg a.s./ha)","")</f>
        <v/>
      </c>
      <c r="C49" s="178" t="str">
        <f t="shared" ref="C49:H49" si="7">IF(AND(C$35="●",Active3=TRUE,ISNUMBER(C$38)),(C$38*$E$23)/1000,"")</f>
        <v/>
      </c>
      <c r="D49" s="178" t="str">
        <f>IF(AND(D$35="●",Active3=TRUE,ISNUMBER(D$38)),(D$38*$E$23)/1000,"")</f>
        <v/>
      </c>
      <c r="E49" s="178" t="str">
        <f t="shared" si="7"/>
        <v/>
      </c>
      <c r="F49" s="178" t="str">
        <f t="shared" si="7"/>
        <v/>
      </c>
      <c r="G49" s="178" t="str">
        <f t="shared" si="7"/>
        <v/>
      </c>
      <c r="H49" s="178" t="str">
        <f t="shared" si="7"/>
        <v/>
      </c>
      <c r="L49" s="47"/>
      <c r="M49" s="47"/>
      <c r="N49" s="47"/>
      <c r="O49" s="47"/>
      <c r="P49" s="47"/>
    </row>
    <row r="50" spans="1:17" ht="20.45" customHeight="1">
      <c r="A50" s="288">
        <v>4</v>
      </c>
      <c r="B50" s="175" t="str">
        <f>IF(Active4=TRUE, INDEX(Active[Name],A50)&amp;" (kg a.s./ha)","")</f>
        <v/>
      </c>
      <c r="C50" s="178" t="str">
        <f t="shared" ref="C50:H50" si="8">IF(AND(C$35="●",Active4=TRUE,ISNUMBER(C$38)),(C$38*$F$23)/1000,"")</f>
        <v/>
      </c>
      <c r="D50" s="178" t="str">
        <f t="shared" si="8"/>
        <v/>
      </c>
      <c r="E50" s="178" t="str">
        <f t="shared" si="8"/>
        <v/>
      </c>
      <c r="F50" s="178" t="str">
        <f t="shared" si="8"/>
        <v/>
      </c>
      <c r="G50" s="178" t="str">
        <f t="shared" si="8"/>
        <v/>
      </c>
      <c r="H50" s="178" t="str">
        <f t="shared" si="8"/>
        <v/>
      </c>
      <c r="L50" s="47"/>
      <c r="M50" s="47"/>
      <c r="N50" s="47"/>
      <c r="O50" s="47"/>
      <c r="P50" s="47"/>
      <c r="Q50" s="47"/>
    </row>
    <row r="51" spans="1:17" ht="20.45" customHeight="1">
      <c r="A51" s="288">
        <v>5</v>
      </c>
      <c r="B51" s="175" t="str">
        <f>IF(Active5=TRUE, INDEX(Active[Name],A51)&amp;" (kg a.s./ha)","")</f>
        <v/>
      </c>
      <c r="C51" s="178" t="str">
        <f t="shared" ref="C51:H51" si="9">IF(AND(C$35="●",Active5=TRUE,ISNUMBER(C$38)),(C$38*$G$23)/1000,"")</f>
        <v/>
      </c>
      <c r="D51" s="178" t="str">
        <f>IF(AND(D$35="●",Active5=TRUE,ISNUMBER(D$38)),(D$38*$G$23)/1000,"")</f>
        <v/>
      </c>
      <c r="E51" s="178" t="str">
        <f t="shared" si="9"/>
        <v/>
      </c>
      <c r="F51" s="178" t="str">
        <f t="shared" si="9"/>
        <v/>
      </c>
      <c r="G51" s="178" t="str">
        <f t="shared" si="9"/>
        <v/>
      </c>
      <c r="H51" s="178" t="str">
        <f t="shared" si="9"/>
        <v/>
      </c>
      <c r="L51" s="47"/>
      <c r="M51" s="47"/>
      <c r="N51" s="47"/>
      <c r="O51" s="47"/>
      <c r="P51" s="47"/>
    </row>
    <row r="52" spans="1:17" ht="19.5" customHeight="1">
      <c r="B52" s="175"/>
      <c r="C52" s="357"/>
      <c r="D52" s="357"/>
      <c r="E52" s="357"/>
      <c r="F52" s="357"/>
      <c r="G52" s="357"/>
      <c r="H52" s="357"/>
      <c r="L52" s="47"/>
      <c r="M52" s="47"/>
      <c r="N52" s="47"/>
      <c r="O52" s="47"/>
      <c r="P52" s="47"/>
    </row>
    <row r="53" spans="1:17" ht="22.35" customHeight="1">
      <c r="C53" s="47"/>
      <c r="D53" s="47"/>
      <c r="E53" s="47"/>
      <c r="F53" s="47"/>
      <c r="G53" s="47"/>
      <c r="H53" s="47"/>
      <c r="L53" s="47"/>
      <c r="M53" s="47"/>
      <c r="N53" s="47"/>
      <c r="O53" s="47"/>
      <c r="P53" s="47"/>
    </row>
    <row r="54" spans="1:17" ht="22.35" customHeight="1">
      <c r="L54" s="47"/>
      <c r="M54" s="47"/>
      <c r="N54" s="47"/>
      <c r="O54" s="47"/>
      <c r="P54" s="47"/>
    </row>
    <row r="55" spans="1:17" ht="22.35" customHeight="1"/>
    <row r="56" spans="1:17" ht="22.35" customHeight="1"/>
    <row r="57" spans="1:17" ht="22.35" customHeight="1"/>
    <row r="58" spans="1:17">
      <c r="B58" s="146"/>
      <c r="C58" s="164"/>
      <c r="D58" s="164"/>
      <c r="E58" s="164"/>
      <c r="F58" s="164"/>
      <c r="G58" s="164"/>
      <c r="H58" s="164"/>
    </row>
    <row r="59" spans="1:17">
      <c r="B59" s="146"/>
      <c r="C59" s="164"/>
      <c r="D59" s="164"/>
      <c r="E59" s="164"/>
      <c r="F59" s="164"/>
      <c r="G59" s="164"/>
      <c r="H59" s="164"/>
    </row>
  </sheetData>
  <sheetProtection algorithmName="SHA-512" hashValue="9HNEU2XV8TggzgkEQ1OTiA3N5OHzhkywflRuG5a/c7KPCekRosqIDJ92sJ6kJ99TKETqaGKQ2/nSB9WFpcN62Q==" saltValue="o3/MFBLQHHAnHhEg8P0/YA==" spinCount="100000" sheet="1" objects="1" scenarios="1" formatColumns="0" formatRows="0"/>
  <mergeCells count="5">
    <mergeCell ref="L42:U42"/>
    <mergeCell ref="L37:U37"/>
    <mergeCell ref="B4:E5"/>
    <mergeCell ref="B33:H34"/>
    <mergeCell ref="B19:H19"/>
  </mergeCells>
  <phoneticPr fontId="73" type="noConversion"/>
  <conditionalFormatting sqref="C40:H40">
    <cfRule type="expression" dxfId="214" priority="27">
      <formula>C39&lt;=1</formula>
    </cfRule>
  </conditionalFormatting>
  <conditionalFormatting sqref="C47:H51">
    <cfRule type="expression" dxfId="213" priority="16">
      <formula>ISNUMBER(SEARCH("kg",$B47))</formula>
    </cfRule>
  </conditionalFormatting>
  <conditionalFormatting sqref="D22:G23">
    <cfRule type="expression" dxfId="212" priority="730">
      <formula>ISNUMBER(D$20)</formula>
    </cfRule>
  </conditionalFormatting>
  <conditionalFormatting sqref="C24:G24">
    <cfRule type="expression" dxfId="211" priority="736">
      <formula>ISNUMBER(C$20)</formula>
    </cfRule>
  </conditionalFormatting>
  <conditionalFormatting sqref="G14">
    <cfRule type="expression" dxfId="210" priority="780">
      <formula>OR(C14="Not available",C14="")</formula>
    </cfRule>
  </conditionalFormatting>
  <conditionalFormatting sqref="G15">
    <cfRule type="expression" dxfId="209" priority="781">
      <formula>OR(C15="Not available",C15="")</formula>
    </cfRule>
  </conditionalFormatting>
  <conditionalFormatting sqref="H14">
    <cfRule type="expression" dxfId="208" priority="782">
      <formula>OR(D14="Not available",D14="")</formula>
    </cfRule>
  </conditionalFormatting>
  <conditionalFormatting sqref="H15">
    <cfRule type="expression" dxfId="207" priority="783">
      <formula>OR(D15="Not available",D15="")</formula>
    </cfRule>
  </conditionalFormatting>
  <conditionalFormatting sqref="D25:G28">
    <cfRule type="expression" dxfId="206" priority="784">
      <formula>ISNUMBER(D$20)</formula>
    </cfRule>
  </conditionalFormatting>
  <dataValidations xWindow="402" yWindow="739" count="4">
    <dataValidation type="whole" errorStyle="information" allowBlank="1" showErrorMessage="1" errorTitle="Invalid number selected" error="Please use a number within the range of 1 to 5._x000a_" sqref="C11" xr:uid="{1A89374A-32A6-4150-8398-680500B5E08A}">
      <formula1>1</formula1>
      <formula2>5</formula2>
    </dataValidation>
    <dataValidation type="list" allowBlank="1" showErrorMessage="1" sqref="C14:D15" xr:uid="{5D065350-0BEE-4E1B-8D70-D54D74FB0B91}">
      <formula1>"Dose-response,Limit test,Not available"</formula1>
    </dataValidation>
    <dataValidation type="decimal" operator="greaterThan" allowBlank="1" showInputMessage="1" showErrorMessage="1" error="Only positive values are allowed as input." sqref="C38:H40" xr:uid="{9E1A6DA0-670F-4CF3-BAB7-E00BDAE40461}">
      <formula1>0</formula1>
    </dataValidation>
    <dataValidation type="decimal" operator="greaterThan" allowBlank="1" showInputMessage="1" showErrorMessage="1" error="Only positive values allowed (&gt; 0)." sqref="C23:G23 G14:H15 C25:G28" xr:uid="{8F11ACA9-E1DA-4429-B12F-97A51B0FFFF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402" yWindow="739" count="1">
        <x14:dataValidation type="list" allowBlank="1" showInputMessage="1" showErrorMessage="1" xr:uid="{1E077232-8F50-47DF-84A1-894E046EE053}">
          <x14:formula1>
            <xm:f>Factors!$B$3:$B$23</xm:f>
          </x14:formula1>
          <xm:sqref>C37:H37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Q210"/>
  <sheetViews>
    <sheetView zoomScale="85" zoomScaleNormal="85" workbookViewId="0">
      <selection activeCell="E12" sqref="E12"/>
    </sheetView>
  </sheetViews>
  <sheetFormatPr defaultColWidth="11.5703125" defaultRowHeight="12.75"/>
  <cols>
    <col min="1" max="1" width="12" style="15" customWidth="1"/>
    <col min="2" max="2" width="9.85546875" style="15" hidden="1" customWidth="1"/>
    <col min="3" max="3" width="23.28515625" style="5" customWidth="1"/>
    <col min="4" max="4" width="33.85546875" style="5" customWidth="1"/>
    <col min="5" max="5" width="36.28515625" style="5" customWidth="1"/>
    <col min="6" max="6" width="23" style="5" customWidth="1"/>
    <col min="7" max="7" width="27.5703125" style="5" customWidth="1"/>
    <col min="8" max="8" width="26.85546875" style="5" customWidth="1"/>
    <col min="9" max="9" width="15.5703125" style="5" customWidth="1"/>
    <col min="10" max="10" width="12.28515625" style="5" customWidth="1"/>
    <col min="11" max="11" width="17.85546875" style="5" customWidth="1"/>
    <col min="12" max="12" width="13.85546875" style="5" customWidth="1"/>
    <col min="13" max="13" width="7.28515625" style="15" customWidth="1"/>
    <col min="14" max="14" width="10.140625" style="5" customWidth="1"/>
    <col min="15" max="15" width="11.5703125" style="5"/>
    <col min="16" max="16" width="9.42578125" style="15" customWidth="1"/>
    <col min="17" max="16384" width="11.5703125" style="5"/>
  </cols>
  <sheetData>
    <row r="2" spans="1:16" ht="15" customHeight="1">
      <c r="A2" s="62"/>
      <c r="B2" s="63"/>
      <c r="C2" s="465" t="s">
        <v>69</v>
      </c>
      <c r="D2" s="465"/>
      <c r="E2" s="465"/>
      <c r="F2" s="465"/>
      <c r="G2" s="465"/>
      <c r="H2" s="64"/>
      <c r="I2" s="64"/>
      <c r="J2" s="64"/>
      <c r="K2" s="64"/>
      <c r="L2" s="64"/>
      <c r="M2" s="63"/>
      <c r="N2" s="65"/>
    </row>
    <row r="3" spans="1:16" ht="15" customHeight="1">
      <c r="A3" s="66"/>
      <c r="B3" s="67"/>
      <c r="C3" s="466"/>
      <c r="D3" s="466"/>
      <c r="E3" s="466"/>
      <c r="F3" s="466"/>
      <c r="G3" s="466"/>
      <c r="H3" s="68"/>
      <c r="I3" s="68"/>
      <c r="J3" s="68"/>
      <c r="K3" s="68"/>
      <c r="L3" s="68"/>
      <c r="M3" s="67"/>
      <c r="N3" s="69"/>
    </row>
    <row r="5" spans="1:16" ht="23.25" customHeight="1">
      <c r="A5" s="61"/>
      <c r="B5" s="392" t="str">
        <f ca="1">IF(Process!J5=TRUE,"Active","Passive")</f>
        <v>Passive</v>
      </c>
      <c r="C5" s="123" t="s">
        <v>70</v>
      </c>
      <c r="D5" s="122" t="s">
        <v>71</v>
      </c>
      <c r="E5" s="120"/>
      <c r="F5" s="120"/>
      <c r="G5" s="120"/>
      <c r="H5" s="120"/>
      <c r="I5" s="120"/>
      <c r="J5" s="120"/>
      <c r="K5" s="120"/>
      <c r="L5" s="120"/>
      <c r="M5" s="120"/>
      <c r="N5" s="121"/>
    </row>
    <row r="6" spans="1:16">
      <c r="C6" s="6"/>
      <c r="D6" s="6"/>
      <c r="E6" s="6"/>
      <c r="F6" s="6"/>
      <c r="G6" s="6"/>
      <c r="H6" s="6"/>
      <c r="I6" s="6"/>
      <c r="J6" s="6"/>
      <c r="K6" s="6"/>
      <c r="L6" s="6"/>
      <c r="M6" s="41"/>
      <c r="N6" s="6"/>
    </row>
    <row r="7" spans="1:16" s="43" customFormat="1" ht="57" customHeight="1">
      <c r="A7" s="17"/>
      <c r="B7" s="17"/>
      <c r="I7" s="8"/>
      <c r="M7" s="17"/>
      <c r="P7" s="17"/>
    </row>
    <row r="8" spans="1:16" ht="14.25">
      <c r="A8" s="41"/>
      <c r="B8" s="41"/>
      <c r="C8" s="108"/>
      <c r="D8" s="108"/>
      <c r="E8" s="108"/>
      <c r="F8" s="108"/>
      <c r="G8" s="7"/>
    </row>
    <row r="9" spans="1:16" ht="59.25" customHeight="1">
      <c r="A9" s="41"/>
      <c r="B9" s="41"/>
      <c r="C9" s="7"/>
      <c r="D9" s="7"/>
      <c r="E9" s="7"/>
      <c r="F9" s="7"/>
      <c r="G9" s="7"/>
    </row>
    <row r="10" spans="1:16" ht="14.25" customHeight="1">
      <c r="A10" s="41"/>
      <c r="B10" s="41"/>
      <c r="C10" s="132"/>
    </row>
    <row r="11" spans="1:16" ht="20.25" customHeight="1">
      <c r="A11" s="41"/>
      <c r="B11" s="41"/>
      <c r="C11" s="34"/>
      <c r="D11" s="27" t="s">
        <v>72</v>
      </c>
      <c r="E11" s="8"/>
      <c r="F11" s="8"/>
      <c r="G11" s="7"/>
    </row>
    <row r="12" spans="1:16" ht="21.4" customHeight="1">
      <c r="A12" s="5"/>
      <c r="B12" s="41"/>
      <c r="C12" s="111" t="s">
        <v>73</v>
      </c>
      <c r="D12" s="180" t="str">
        <f ca="1">IFERROR(INDEX(Product[LD50mix],1),"")</f>
        <v/>
      </c>
      <c r="E12" s="8"/>
      <c r="F12" s="8"/>
      <c r="G12" s="7"/>
    </row>
    <row r="13" spans="1:16">
      <c r="A13" s="41"/>
      <c r="B13" s="41"/>
      <c r="C13" s="20"/>
      <c r="E13" s="8"/>
      <c r="F13" s="8"/>
      <c r="G13" s="7"/>
    </row>
    <row r="14" spans="1:16" ht="16.5" hidden="1" customHeight="1">
      <c r="A14" s="41"/>
      <c r="B14" s="41"/>
      <c r="C14" s="20"/>
      <c r="D14" s="221">
        <f>IFERROR(INDEX(Active[i],1+COUNT($C$14:C14)),"")</f>
        <v>1</v>
      </c>
      <c r="E14" s="221">
        <f>IFERROR(INDEX(Active[i],1+COUNT($C$14:D14)),"")</f>
        <v>2</v>
      </c>
      <c r="F14" s="221">
        <f>IFERROR(INDEX(Active[i],1+COUNT($C$14:E14)),"")</f>
        <v>3</v>
      </c>
      <c r="G14" s="221">
        <f>IFERROR(INDEX(Active[i],1+COUNT($C$14:F14)),"")</f>
        <v>4</v>
      </c>
      <c r="H14" s="221">
        <f>IFERROR(INDEX(Active[i],1+COUNT($C$14:G14)),"")</f>
        <v>5</v>
      </c>
    </row>
    <row r="15" spans="1:16" ht="14.25">
      <c r="A15" s="41"/>
      <c r="B15" s="41"/>
      <c r="C15" s="20"/>
      <c r="D15" s="181" t="str">
        <f ca="1">IF(AND(Step1="Active",Active1=TRUE),INDEX(Active[Name],D14),"")</f>
        <v/>
      </c>
      <c r="E15" s="181" t="str">
        <f ca="1">IF(AND(Step1="Active",Active1=TRUE),INDEX(Active[Name],E14),"")</f>
        <v/>
      </c>
      <c r="F15" s="181" t="str">
        <f ca="1">IF(AND(Step1="Active",Active1=TRUE),INDEX(Active[Name],F14),"")</f>
        <v/>
      </c>
      <c r="G15" s="181" t="str">
        <f ca="1">IF(AND(Step1="Active",Active1=TRUE),INDEX(Active[Name],G14),"")</f>
        <v/>
      </c>
      <c r="H15" s="181" t="str">
        <f ca="1">IF(AND(Step1="Active",Active1=TRUE),INDEX(Active[Name],H14),"")</f>
        <v/>
      </c>
    </row>
    <row r="16" spans="1:16" ht="19.5" customHeight="1">
      <c r="B16" s="41"/>
      <c r="C16" s="129" t="s">
        <v>74</v>
      </c>
      <c r="D16" s="182" t="str">
        <f ca="1">IFERROR(INDEX(Active[B_tpfas],D14,),"")</f>
        <v/>
      </c>
      <c r="E16" s="182" t="str">
        <f ca="1">IFERROR(INDEX(Active[B_tpfas],E14,),"")</f>
        <v/>
      </c>
      <c r="F16" s="182" t="str">
        <f ca="1">IFERROR(INDEX(Active[B_tpfas],F14,),"")</f>
        <v/>
      </c>
      <c r="G16" s="182" t="str">
        <f ca="1">IFERROR(INDEX(Active[B_tpfas],G14,),"")</f>
        <v/>
      </c>
      <c r="H16" s="182" t="str">
        <f ca="1">IFERROR(INDEX(Active[B_tpfas],H14,),"")</f>
        <v/>
      </c>
    </row>
    <row r="17" spans="1:17" ht="19.5" customHeight="1">
      <c r="A17" s="41"/>
      <c r="C17" s="111" t="s">
        <v>75</v>
      </c>
      <c r="D17" s="183" t="str">
        <f ca="1">IFERROR(INDEX(Active[B_dev_tpfmix],D14),"")</f>
        <v/>
      </c>
      <c r="E17" s="183" t="str">
        <f ca="1">IFERROR(INDEX(Active[B_dev_tpfmix],E14),"")</f>
        <v/>
      </c>
      <c r="F17" s="183" t="str">
        <f ca="1">IFERROR(INDEX(Active[B_dev_tpfmix],F14),"")</f>
        <v/>
      </c>
      <c r="G17" s="183" t="str">
        <f ca="1">IFERROR(INDEX(Active[B_dev_tpfmix],G14),"")</f>
        <v/>
      </c>
      <c r="H17" s="183" t="str">
        <f ca="1">IFERROR(INDEX(Active[B_dev_tpfmix],H14),"")</f>
        <v/>
      </c>
    </row>
    <row r="18" spans="1:17" ht="19.5" hidden="1" customHeight="1">
      <c r="A18" s="41"/>
      <c r="B18" s="41"/>
      <c r="C18" s="4" t="s">
        <v>76</v>
      </c>
      <c r="D18" s="184" t="str">
        <f ca="1">IFERROR(INDEX(Active[B_contr_LD50mix],D14),"")</f>
        <v/>
      </c>
      <c r="E18" s="184" t="str">
        <f ca="1">IFERROR(INDEX(Active[B_contr_LD50mix],E14),"")</f>
        <v/>
      </c>
      <c r="F18" s="184" t="str">
        <f ca="1">IFERROR(INDEX(Active[B_contr_LD50mix],F14),"")</f>
        <v/>
      </c>
      <c r="G18" s="185" t="str">
        <f ca="1">IFERROR(INDEX(Active[B_contr_LD50mix],G14),"")</f>
        <v/>
      </c>
      <c r="H18" s="185" t="str">
        <f ca="1">IFERROR(INDEX(Active[B_contr_LD50mix],H14),"")</f>
        <v/>
      </c>
    </row>
    <row r="19" spans="1:17" ht="12.75" customHeight="1">
      <c r="C19" s="16"/>
      <c r="D19" s="16"/>
      <c r="E19" s="16"/>
      <c r="F19" s="16"/>
      <c r="G19" s="16"/>
      <c r="H19" s="16"/>
      <c r="I19" s="16"/>
      <c r="J19" s="8"/>
    </row>
    <row r="20" spans="1:17" ht="19.149999999999999" customHeight="1">
      <c r="C20" s="26" t="s">
        <v>77</v>
      </c>
      <c r="D20" s="91"/>
      <c r="I20" s="16"/>
      <c r="J20" s="8"/>
      <c r="K20" s="8"/>
      <c r="M20" s="9"/>
    </row>
    <row r="21" spans="1:17" ht="25.5" customHeight="1">
      <c r="C21" s="494" t="str">
        <f ca="1">IF(Step1="Active",INDEX(Process[HowToProceed_Birds],1),"")</f>
        <v/>
      </c>
      <c r="D21" s="495"/>
      <c r="E21" s="495"/>
      <c r="F21" s="186" t="s">
        <v>78</v>
      </c>
      <c r="G21" s="43"/>
      <c r="H21" s="8"/>
      <c r="I21" s="8"/>
      <c r="J21" s="8"/>
      <c r="K21" s="8"/>
      <c r="L21" s="8"/>
      <c r="M21" s="9"/>
      <c r="N21" s="8"/>
    </row>
    <row r="22" spans="1:17" ht="25.5" customHeight="1">
      <c r="C22" s="496"/>
      <c r="D22" s="497"/>
      <c r="E22" s="497"/>
      <c r="F22" s="187" t="str">
        <f ca="1">IF(Step1="Active",INDEX(Process[Next step (birds)],1),"")</f>
        <v/>
      </c>
      <c r="G22" s="43"/>
      <c r="H22" s="8"/>
      <c r="I22" s="8"/>
      <c r="J22" s="8"/>
      <c r="K22" s="8"/>
      <c r="L22" s="8"/>
      <c r="M22" s="9"/>
      <c r="N22" s="8"/>
    </row>
    <row r="23" spans="1:17">
      <c r="G23" s="18"/>
      <c r="H23" s="18"/>
      <c r="I23" s="8"/>
      <c r="J23" s="8"/>
      <c r="K23" s="8"/>
      <c r="L23" s="8"/>
      <c r="M23" s="9"/>
      <c r="N23" s="8"/>
    </row>
    <row r="24" spans="1:17">
      <c r="C24" s="12"/>
      <c r="D24" s="13"/>
      <c r="E24" s="13"/>
      <c r="F24" s="13"/>
      <c r="G24" s="13"/>
      <c r="H24" s="11"/>
      <c r="I24" s="11"/>
      <c r="J24" s="11"/>
      <c r="K24" s="11"/>
      <c r="L24" s="11"/>
      <c r="M24" s="41"/>
    </row>
    <row r="25" spans="1:17" ht="26.25" customHeight="1">
      <c r="A25" s="61"/>
      <c r="B25" s="392" t="str">
        <f ca="1">IF(Process!J6=TRUE,"Active","Passive")</f>
        <v>Passive</v>
      </c>
      <c r="C25" s="123" t="s">
        <v>79</v>
      </c>
      <c r="D25" s="122" t="s">
        <v>80</v>
      </c>
      <c r="E25" s="120"/>
      <c r="F25" s="120"/>
      <c r="G25" s="120"/>
      <c r="H25" s="120"/>
      <c r="I25" s="120"/>
      <c r="J25" s="120"/>
      <c r="K25" s="120"/>
      <c r="L25" s="120"/>
      <c r="M25" s="120"/>
      <c r="N25" s="121"/>
    </row>
    <row r="26" spans="1:17">
      <c r="A26" s="18"/>
      <c r="B26" s="18"/>
      <c r="C26" s="14"/>
      <c r="D26" s="14"/>
      <c r="E26" s="14"/>
      <c r="F26" s="14"/>
      <c r="G26" s="14"/>
      <c r="H26" s="14"/>
      <c r="I26" s="14"/>
      <c r="J26" s="14"/>
      <c r="K26" s="14"/>
      <c r="L26" s="14"/>
      <c r="M26" s="44"/>
      <c r="N26" s="14"/>
    </row>
    <row r="27" spans="1:17" ht="21" customHeight="1">
      <c r="A27" s="18"/>
      <c r="B27" s="124"/>
      <c r="C27" s="498" t="s">
        <v>81</v>
      </c>
      <c r="D27" s="499"/>
      <c r="E27" s="499"/>
      <c r="F27" s="500"/>
      <c r="G27" s="14"/>
      <c r="H27" s="8"/>
      <c r="I27" s="14"/>
      <c r="J27" s="8"/>
      <c r="K27" s="8"/>
      <c r="L27" s="14"/>
      <c r="M27" s="44"/>
      <c r="N27" s="14"/>
    </row>
    <row r="28" spans="1:17" s="43" customFormat="1" ht="26.25" customHeight="1">
      <c r="A28" s="117"/>
      <c r="B28" s="124"/>
      <c r="C28" s="496" t="str">
        <f ca="1">IF(Step2="Active",
         IF(F22="2a","Dose-response study with the formulation is available, compare predicted toxicity to the formulation endpoint (Step 2a).",
         IF(F22="2b","Limit test with the formulation is available, compare predicted toxicity to the formulation endpoint (Step 2b).",
         IF(F22=4,"Step 2 not relevant, go to Step 4.",""))),"")</f>
        <v/>
      </c>
      <c r="D28" s="497"/>
      <c r="E28" s="497"/>
      <c r="F28" s="501"/>
      <c r="H28" s="8"/>
      <c r="I28" s="8"/>
      <c r="J28" s="8"/>
      <c r="K28" s="8"/>
      <c r="L28" s="118"/>
      <c r="M28" s="119"/>
      <c r="N28" s="118"/>
      <c r="P28" s="17"/>
    </row>
    <row r="29" spans="1:17" ht="19.5" customHeight="1">
      <c r="C29" s="9"/>
      <c r="D29" s="9"/>
      <c r="E29" s="9"/>
      <c r="F29" s="9"/>
      <c r="H29" s="8"/>
      <c r="Q29" s="8"/>
    </row>
    <row r="30" spans="1:17" ht="19.5" customHeight="1">
      <c r="C30" s="97" t="str">
        <f ca="1">IFERROR(
    IF(F22="2a","Step 2a: Comparison based on dose-response data",
    IF(F22="2b","Step 2b: Comparison based on limit test data", "No formulation data available")),"")</f>
        <v>No formulation data available</v>
      </c>
      <c r="D30" s="8"/>
      <c r="E30" s="15"/>
      <c r="F30" s="8"/>
      <c r="G30" s="464" t="str">
        <f ca="1">IF(ISNUMBER(E33),
     IF(E33&gt;=0,"Formulation study shows lower/equal toxicity than predicted from the individual components.",
     IF(E33&lt;0,"Formulation study shows higher toxicity than predicted from the individual components. "&amp;
          IF(F22="2b","
* Consider whether the limit test indicates higher toxicity, or if this is an artefact caused by the test setup and dose-spacing.",""),"")),"")</f>
        <v/>
      </c>
      <c r="H30" s="8"/>
      <c r="Q30" s="8"/>
    </row>
    <row r="31" spans="1:17" ht="19.5" customHeight="1">
      <c r="C31" s="463" t="s">
        <v>82</v>
      </c>
      <c r="D31" s="463"/>
      <c r="E31" s="188" t="str">
        <f ca="1">IF(Step2&lt;&gt;"Passive",IFERROR(1/INDEX(Product[LD50mix],1),""),"")</f>
        <v/>
      </c>
      <c r="F31" s="8"/>
      <c r="G31" s="464"/>
      <c r="H31" s="8"/>
      <c r="Q31" s="127"/>
    </row>
    <row r="32" spans="1:17" ht="19.5" customHeight="1">
      <c r="C32" s="24" t="s">
        <v>83</v>
      </c>
      <c r="D32" s="20"/>
      <c r="E32" s="189" t="str">
        <f ca="1">IF(Step2&lt;&gt;"Passive",IFERROR(1/INDEX(Product[LD50form],1),""),"")</f>
        <v/>
      </c>
      <c r="F32" s="19"/>
      <c r="G32" s="464"/>
      <c r="H32" s="8"/>
      <c r="P32" s="128"/>
      <c r="Q32" s="125"/>
    </row>
    <row r="33" spans="1:17" ht="21.75" customHeight="1">
      <c r="C33" s="284" t="s">
        <v>84</v>
      </c>
      <c r="D33" s="163"/>
      <c r="E33" s="190" t="str">
        <f ca="1">IF(Step2&lt;&gt;"Passive",IFERROR(INDEX(Product[Acute meas-vs-pred],1),""),"")</f>
        <v/>
      </c>
      <c r="F33" s="19"/>
      <c r="G33" s="464"/>
      <c r="H33" s="8"/>
      <c r="P33" s="126"/>
      <c r="Q33" s="125"/>
    </row>
    <row r="34" spans="1:17" ht="19.5" customHeight="1">
      <c r="A34" s="396" t="str">
        <f ca="1">IF(AND(C34&lt;&gt;"",E34=""),"● ","")</f>
        <v/>
      </c>
      <c r="B34" s="131"/>
      <c r="C34" s="191" t="str">
        <f ca="1">IFERROR(IF(AND(F22="2b",ISNUMBER(E33),E33&lt;0), "Include limit test data to the assessment? ",""),"")</f>
        <v/>
      </c>
      <c r="D34" s="43"/>
      <c r="E34" s="179"/>
      <c r="G34" s="464"/>
      <c r="H34" s="8"/>
      <c r="Q34" s="8"/>
    </row>
    <row r="35" spans="1:17" ht="19.5" customHeight="1">
      <c r="C35" s="8"/>
      <c r="D35" s="8"/>
      <c r="E35" s="8"/>
      <c r="F35" s="8"/>
      <c r="G35" s="464"/>
      <c r="L35" s="8"/>
      <c r="Q35" s="8"/>
    </row>
    <row r="36" spans="1:17" ht="17.649999999999999" customHeight="1">
      <c r="C36" s="95" t="s">
        <v>77</v>
      </c>
      <c r="D36" s="8"/>
      <c r="E36" s="8"/>
      <c r="F36" s="8"/>
      <c r="Q36" s="8"/>
    </row>
    <row r="37" spans="1:17" ht="24.75" customHeight="1">
      <c r="C37" s="494" t="str">
        <f ca="1">IF(Step2&lt;&gt;"Passive",INDEX(Process[HowToProceed_Birds],2),"")</f>
        <v/>
      </c>
      <c r="D37" s="495"/>
      <c r="E37" s="495"/>
      <c r="F37" s="186" t="s">
        <v>78</v>
      </c>
      <c r="Q37" s="8"/>
    </row>
    <row r="38" spans="1:17" ht="24.75" customHeight="1">
      <c r="C38" s="496"/>
      <c r="D38" s="497"/>
      <c r="E38" s="497"/>
      <c r="F38" s="187" t="str">
        <f ca="1">IF(Step2&lt;&gt;"Passive",INDEX(Process[Next step (birds)],2),"")</f>
        <v/>
      </c>
      <c r="Q38" s="19"/>
    </row>
    <row r="39" spans="1:17" ht="21" customHeight="1">
      <c r="C39" s="108"/>
      <c r="D39" s="108"/>
      <c r="E39" s="108"/>
      <c r="F39" s="108"/>
      <c r="Q39" s="19"/>
    </row>
    <row r="40" spans="1:17" ht="24" customHeight="1">
      <c r="A40" s="60"/>
      <c r="B40" s="392" t="str">
        <f ca="1">IF(Process!J7=TRUE,"Active","Passive")</f>
        <v>Passive</v>
      </c>
      <c r="C40" s="123" t="s">
        <v>85</v>
      </c>
      <c r="D40" s="122" t="s">
        <v>86</v>
      </c>
      <c r="E40" s="120"/>
      <c r="F40" s="120"/>
      <c r="G40" s="120"/>
      <c r="H40" s="120"/>
      <c r="I40" s="120"/>
      <c r="J40" s="120"/>
      <c r="K40" s="120"/>
      <c r="L40" s="120"/>
      <c r="M40" s="120"/>
      <c r="N40" s="121"/>
    </row>
    <row r="41" spans="1:17">
      <c r="C41" s="8"/>
      <c r="D41" s="8"/>
      <c r="E41" s="8"/>
      <c r="F41" s="8"/>
    </row>
    <row r="42" spans="1:17" ht="12.75" customHeight="1">
      <c r="C42" s="16"/>
      <c r="D42" s="16"/>
      <c r="E42" s="16"/>
      <c r="F42" s="16"/>
      <c r="G42" s="16"/>
      <c r="H42" s="16"/>
      <c r="J42" s="16"/>
      <c r="K42" s="16"/>
      <c r="L42" s="16"/>
    </row>
    <row r="43" spans="1:17" ht="12.75" customHeight="1">
      <c r="C43" s="16"/>
      <c r="D43" s="16"/>
      <c r="E43" s="16"/>
      <c r="F43" s="16"/>
      <c r="G43" s="16"/>
      <c r="H43" s="16"/>
      <c r="I43" s="16"/>
      <c r="J43" s="16"/>
      <c r="K43" s="16"/>
      <c r="L43" s="16"/>
    </row>
    <row r="44" spans="1:17" ht="12.75" customHeight="1">
      <c r="C44" s="16"/>
      <c r="D44" s="16"/>
      <c r="E44" s="16"/>
      <c r="F44" s="16"/>
      <c r="G44" s="16"/>
      <c r="H44" s="16"/>
      <c r="I44" s="16"/>
      <c r="J44" s="16"/>
      <c r="K44" s="16"/>
      <c r="L44" s="16"/>
    </row>
    <row r="45" spans="1:17" ht="15" customHeight="1">
      <c r="C45" s="16"/>
      <c r="D45" s="16"/>
      <c r="E45" s="16"/>
      <c r="F45" s="16"/>
      <c r="G45" s="30"/>
      <c r="H45" s="30"/>
      <c r="I45" s="30"/>
      <c r="J45" s="30"/>
      <c r="K45" s="30"/>
      <c r="L45" s="30"/>
    </row>
    <row r="46" spans="1:17" ht="15" customHeight="1">
      <c r="C46" s="16"/>
      <c r="D46" s="16"/>
      <c r="E46" s="16"/>
      <c r="F46" s="16"/>
      <c r="G46" s="31"/>
      <c r="H46" s="31"/>
      <c r="I46" s="31"/>
      <c r="J46" s="31"/>
      <c r="K46" s="31"/>
      <c r="L46" s="31"/>
    </row>
    <row r="47" spans="1:17" ht="20.25" customHeight="1">
      <c r="C47" s="41" t="s">
        <v>87</v>
      </c>
      <c r="D47" s="41" t="s">
        <v>88</v>
      </c>
      <c r="E47" s="330" t="s">
        <v>89</v>
      </c>
      <c r="F47" s="32"/>
      <c r="G47" s="32"/>
      <c r="H47" s="32"/>
      <c r="I47" s="32"/>
      <c r="J47" s="32"/>
      <c r="K47" s="32"/>
      <c r="L47" s="32"/>
    </row>
    <row r="48" spans="1:17" ht="14.45" customHeight="1">
      <c r="C48" s="219" t="str">
        <f ca="1">IFERROR(IF(Step4="Active",INDEX(Product[Used Acute endpoint type],1),""),"")</f>
        <v/>
      </c>
      <c r="D48" s="192" t="str">
        <f ca="1">IF(Step4="Active",IFERROR(INDEX(Product[Used Acute endpoint value],1),""),"")</f>
        <v/>
      </c>
      <c r="E48" s="96" t="s">
        <v>90</v>
      </c>
      <c r="F48" s="10"/>
      <c r="O48" s="8"/>
    </row>
    <row r="49" spans="1:16">
      <c r="A49" s="21"/>
      <c r="B49" s="21"/>
      <c r="G49" s="17"/>
      <c r="O49" s="8"/>
    </row>
    <row r="50" spans="1:16" ht="14.25" customHeight="1">
      <c r="A50" s="21"/>
      <c r="B50" s="21"/>
      <c r="C50" s="22"/>
      <c r="D50" s="23"/>
      <c r="E50" s="21"/>
      <c r="F50" s="21"/>
      <c r="G50" s="17"/>
      <c r="H50" s="17"/>
      <c r="I50" s="17"/>
      <c r="O50" s="8"/>
    </row>
    <row r="51" spans="1:16" ht="14.25" customHeight="1">
      <c r="A51" s="21"/>
      <c r="B51" s="21"/>
      <c r="C51" s="21"/>
      <c r="D51" s="23"/>
      <c r="E51" s="12"/>
      <c r="F51" s="29"/>
      <c r="G51" s="28"/>
      <c r="H51" s="17"/>
      <c r="O51" s="8"/>
    </row>
    <row r="52" spans="1:16" ht="14.25" customHeight="1">
      <c r="A52" s="21"/>
      <c r="B52" s="21"/>
      <c r="C52" s="22"/>
      <c r="D52" s="23"/>
      <c r="E52" s="21"/>
      <c r="G52" s="17"/>
      <c r="H52" s="17"/>
      <c r="I52" s="17"/>
      <c r="O52" s="8"/>
    </row>
    <row r="53" spans="1:16" ht="14.25" customHeight="1">
      <c r="A53" s="21"/>
      <c r="B53" s="21"/>
      <c r="C53" s="22"/>
      <c r="D53" s="23"/>
      <c r="E53" s="21"/>
      <c r="F53" s="21"/>
      <c r="G53" s="17"/>
      <c r="H53" s="17"/>
      <c r="I53" s="17"/>
      <c r="O53" s="8"/>
    </row>
    <row r="54" spans="1:16" ht="14.25" customHeight="1">
      <c r="A54" s="21"/>
      <c r="B54" s="21"/>
      <c r="D54" s="23"/>
      <c r="E54" s="21"/>
      <c r="F54" s="21"/>
      <c r="G54" s="17"/>
      <c r="H54" s="17"/>
      <c r="I54" s="17"/>
      <c r="O54" s="8"/>
    </row>
    <row r="55" spans="1:16" ht="14.25" customHeight="1">
      <c r="A55" s="21"/>
      <c r="B55" s="21"/>
      <c r="C55" s="21"/>
      <c r="D55" s="23"/>
      <c r="E55" s="21"/>
      <c r="F55" s="21"/>
      <c r="G55" s="17"/>
      <c r="H55" s="17"/>
      <c r="I55" s="17"/>
      <c r="O55" s="8"/>
    </row>
    <row r="56" spans="1:16" ht="14.25" customHeight="1">
      <c r="A56" s="21"/>
      <c r="B56" s="21"/>
      <c r="C56" s="22"/>
      <c r="D56" s="23"/>
      <c r="E56" s="21"/>
      <c r="F56" s="21"/>
      <c r="G56" s="17"/>
      <c r="H56" s="17"/>
      <c r="I56" s="17"/>
      <c r="O56" s="8"/>
    </row>
    <row r="57" spans="1:16" ht="14.25" customHeight="1">
      <c r="A57" s="21"/>
      <c r="B57" s="21"/>
      <c r="C57" s="22"/>
      <c r="D57" s="23"/>
      <c r="E57" s="21"/>
      <c r="F57" s="21"/>
      <c r="G57" s="17"/>
      <c r="H57" s="17"/>
      <c r="I57" s="17"/>
      <c r="O57" s="8"/>
    </row>
    <row r="58" spans="1:16" ht="14.25" customHeight="1">
      <c r="A58" s="21"/>
      <c r="B58" s="21"/>
      <c r="C58" s="22"/>
      <c r="D58" s="23"/>
      <c r="E58" s="21"/>
      <c r="F58" s="21"/>
      <c r="G58" s="17"/>
      <c r="H58" s="17"/>
      <c r="I58" s="17"/>
      <c r="O58" s="8"/>
    </row>
    <row r="59" spans="1:16" ht="14.25" customHeight="1">
      <c r="A59" s="21"/>
      <c r="B59" s="21"/>
      <c r="C59" s="22"/>
      <c r="D59" s="23"/>
      <c r="E59" s="21"/>
      <c r="F59" s="21"/>
      <c r="G59" s="17"/>
      <c r="H59" s="17"/>
      <c r="I59" s="17"/>
      <c r="O59" s="8"/>
    </row>
    <row r="60" spans="1:16" ht="19.5" customHeight="1">
      <c r="A60" s="21"/>
      <c r="B60" s="21"/>
      <c r="C60" s="22"/>
      <c r="D60" s="23"/>
      <c r="E60" s="21"/>
      <c r="F60" s="21"/>
      <c r="G60" s="17"/>
      <c r="H60" s="17"/>
      <c r="I60" s="17"/>
      <c r="O60" s="8"/>
    </row>
    <row r="61" spans="1:16" ht="12" customHeight="1">
      <c r="A61" s="21"/>
      <c r="B61" s="21"/>
      <c r="C61" s="22"/>
      <c r="D61" s="23"/>
      <c r="E61" s="21"/>
      <c r="F61" s="21"/>
      <c r="G61" s="17"/>
      <c r="H61" s="115"/>
      <c r="I61" s="115"/>
      <c r="O61" s="8"/>
    </row>
    <row r="62" spans="1:16" s="36" customFormat="1" ht="30.75" customHeight="1">
      <c r="A62" s="21"/>
      <c r="B62" s="21"/>
      <c r="C62" s="38" t="s">
        <v>91</v>
      </c>
      <c r="D62" s="38" t="s">
        <v>92</v>
      </c>
      <c r="E62" s="38" t="s">
        <v>93</v>
      </c>
      <c r="F62" s="39" t="s">
        <v>94</v>
      </c>
      <c r="G62" s="40" t="s">
        <v>95</v>
      </c>
      <c r="H62" s="40" t="s">
        <v>96</v>
      </c>
      <c r="I62" s="40" t="s">
        <v>97</v>
      </c>
      <c r="J62" s="193" t="s">
        <v>98</v>
      </c>
      <c r="K62" s="35"/>
      <c r="L62" s="35"/>
      <c r="P62" s="33"/>
    </row>
    <row r="63" spans="1:16" s="36" customFormat="1" ht="14.45" customHeight="1">
      <c r="A63" s="21"/>
      <c r="B63" s="195"/>
      <c r="C63" s="48" t="s">
        <v>99</v>
      </c>
      <c r="D63" s="48" t="s">
        <v>100</v>
      </c>
      <c r="E63" s="48" t="s">
        <v>101</v>
      </c>
      <c r="F63" s="50" t="s">
        <v>102</v>
      </c>
      <c r="G63" s="49">
        <v>24.7</v>
      </c>
      <c r="H63" s="393" t="str">
        <f>IF(AND(ISNUMBER(HLOOKUP(Table4[[#This Row],[Crop]],Input_Scenario,10,FALSE)),ISNUMBER(HLOOKUP(Table4[[#This Row],[Crop]],Input_Scenario,5,FALSE))),Table4[[#This Row],[SV90]]*HLOOKUP(Table4[[#This Row],[Crop]],Input_Scenario,10,FALSE)*HLOOKUP(Table4[[#This Row],[Crop]],Input_Scenario,5,FALSE),"")</f>
        <v/>
      </c>
      <c r="I63" s="394" t="str">
        <f ca="1">IF(AND(ISNUMBER($D$12),ISNUMBER(Table4[[#This Row],[DDD90 (mg/kg bw/d)]])),$D$48/Table4[[#This Row],[DDD90 (mg/kg bw/d)]],"")</f>
        <v/>
      </c>
      <c r="J63" s="194" t="str">
        <f ca="1">IF(ISNUMBER(Table4[[#This Row],[TERmix]]),"Input provided","No input")</f>
        <v>No input</v>
      </c>
      <c r="K63" s="33"/>
      <c r="L63" s="37"/>
      <c r="P63" s="33"/>
    </row>
    <row r="64" spans="1:16" s="36" customFormat="1" ht="14.45" customHeight="1">
      <c r="A64" s="21"/>
      <c r="B64" s="195"/>
      <c r="C64" s="48" t="s">
        <v>99</v>
      </c>
      <c r="D64" s="48" t="s">
        <v>100</v>
      </c>
      <c r="E64" s="48" t="s">
        <v>103</v>
      </c>
      <c r="F64" s="50" t="s">
        <v>104</v>
      </c>
      <c r="G64" s="49">
        <v>17.399999999999999</v>
      </c>
      <c r="H64" s="393" t="str">
        <f>IF(AND(ISNUMBER(HLOOKUP(Table4[[#This Row],[Crop]],Input_Scenario,10,FALSE)),ISNUMBER(HLOOKUP(Table4[[#This Row],[Crop]],Input_Scenario,5,FALSE))),Table4[[#This Row],[SV90]]*HLOOKUP(Table4[[#This Row],[Crop]],Input_Scenario,10,FALSE)*HLOOKUP(Table4[[#This Row],[Crop]],Input_Scenario,5,FALSE),"")</f>
        <v/>
      </c>
      <c r="I64" s="394" t="str">
        <f ca="1">IF(AND(ISNUMBER($D$12),ISNUMBER(Table4[[#This Row],[DDD90 (mg/kg bw/d)]])),$D$48/Table4[[#This Row],[DDD90 (mg/kg bw/d)]],"")</f>
        <v/>
      </c>
      <c r="J64" s="194" t="str">
        <f ca="1">IF(ISNUMBER(Table4[[#This Row],[TERmix]]),"Input provided","No input")</f>
        <v>No input</v>
      </c>
      <c r="K64" s="33"/>
      <c r="L64" s="37"/>
      <c r="P64" s="33"/>
    </row>
    <row r="65" spans="1:16" s="36" customFormat="1" ht="14.45" customHeight="1">
      <c r="A65" s="21"/>
      <c r="B65" s="195"/>
      <c r="C65" s="48" t="s">
        <v>99</v>
      </c>
      <c r="D65" s="48" t="s">
        <v>100</v>
      </c>
      <c r="E65" s="48" t="s">
        <v>105</v>
      </c>
      <c r="F65" s="50" t="s">
        <v>106</v>
      </c>
      <c r="G65" s="49">
        <v>10.9</v>
      </c>
      <c r="H65" s="393" t="str">
        <f>IF(AND(ISNUMBER(HLOOKUP(Table4[[#This Row],[Crop]],Input_Scenario,10,FALSE)),ISNUMBER(HLOOKUP(Table4[[#This Row],[Crop]],Input_Scenario,5,FALSE))),Table4[[#This Row],[SV90]]*HLOOKUP(Table4[[#This Row],[Crop]],Input_Scenario,10,FALSE)*HLOOKUP(Table4[[#This Row],[Crop]],Input_Scenario,5,FALSE),"")</f>
        <v/>
      </c>
      <c r="I65" s="394" t="str">
        <f ca="1">IF(AND(ISNUMBER($D$12),ISNUMBER(Table4[[#This Row],[DDD90 (mg/kg bw/d)]])),$D$48/Table4[[#This Row],[DDD90 (mg/kg bw/d)]],"")</f>
        <v/>
      </c>
      <c r="J65" s="194" t="str">
        <f ca="1">IF(ISNUMBER(Table4[[#This Row],[TERmix]]),"Input provided","No input")</f>
        <v>No input</v>
      </c>
      <c r="K65" s="33"/>
      <c r="L65" s="37"/>
      <c r="P65" s="33"/>
    </row>
    <row r="66" spans="1:16" s="36" customFormat="1" ht="14.45" customHeight="1">
      <c r="A66" s="21"/>
      <c r="B66" s="195"/>
      <c r="C66" s="48" t="s">
        <v>107</v>
      </c>
      <c r="D66" s="48" t="s">
        <v>108</v>
      </c>
      <c r="E66" s="48" t="s">
        <v>105</v>
      </c>
      <c r="F66" s="50" t="s">
        <v>106</v>
      </c>
      <c r="G66" s="49">
        <v>26.8</v>
      </c>
      <c r="H66" s="393" t="str">
        <f>IF(AND(ISNUMBER(HLOOKUP(Table4[[#This Row],[Crop]],Input_Scenario,10,FALSE)),ISNUMBER(HLOOKUP(Table4[[#This Row],[Crop]],Input_Scenario,5,FALSE))),Table4[[#This Row],[SV90]]*HLOOKUP(Table4[[#This Row],[Crop]],Input_Scenario,10,FALSE)*HLOOKUP(Table4[[#This Row],[Crop]],Input_Scenario,5,FALSE),"")</f>
        <v/>
      </c>
      <c r="I66" s="394" t="str">
        <f ca="1">IF(AND(ISNUMBER($D$12),ISNUMBER(Table4[[#This Row],[DDD90 (mg/kg bw/d)]])),$D$48/Table4[[#This Row],[DDD90 (mg/kg bw/d)]],"")</f>
        <v/>
      </c>
      <c r="J66" s="194" t="str">
        <f ca="1">IF(ISNUMBER(Table4[[#This Row],[TERmix]]),"Input provided","No input")</f>
        <v>No input</v>
      </c>
      <c r="K66" s="33"/>
      <c r="L66" s="37"/>
      <c r="P66" s="33"/>
    </row>
    <row r="67" spans="1:16" s="36" customFormat="1" ht="14.45" customHeight="1">
      <c r="A67" s="21"/>
      <c r="B67" s="195"/>
      <c r="C67" s="48" t="s">
        <v>107</v>
      </c>
      <c r="D67" s="48" t="s">
        <v>109</v>
      </c>
      <c r="E67" s="48" t="s">
        <v>101</v>
      </c>
      <c r="F67" s="50" t="s">
        <v>102</v>
      </c>
      <c r="G67" s="49">
        <v>14.8</v>
      </c>
      <c r="H67" s="393" t="str">
        <f>IF(AND(ISNUMBER(HLOOKUP(Table4[[#This Row],[Crop]],Input_Scenario,10,FALSE)),ISNUMBER(HLOOKUP(Table4[[#This Row],[Crop]],Input_Scenario,5,FALSE))),Table4[[#This Row],[SV90]]*HLOOKUP(Table4[[#This Row],[Crop]],Input_Scenario,10,FALSE)*HLOOKUP(Table4[[#This Row],[Crop]],Input_Scenario,5,FALSE),"")</f>
        <v/>
      </c>
      <c r="I67" s="394" t="str">
        <f ca="1">IF(AND(ISNUMBER($D$12),ISNUMBER(Table4[[#This Row],[DDD90 (mg/kg bw/d)]])),$D$48/Table4[[#This Row],[DDD90 (mg/kg bw/d)]],"")</f>
        <v/>
      </c>
      <c r="J67" s="194" t="str">
        <f ca="1">IF(ISNUMBER(Table4[[#This Row],[TERmix]]),"Input provided","No input")</f>
        <v>No input</v>
      </c>
      <c r="K67" s="33"/>
      <c r="L67" s="37"/>
      <c r="P67" s="33"/>
    </row>
    <row r="68" spans="1:16" s="36" customFormat="1" ht="14.45" customHeight="1">
      <c r="A68" s="21"/>
      <c r="B68" s="195"/>
      <c r="C68" s="48" t="s">
        <v>107</v>
      </c>
      <c r="D68" s="48" t="s">
        <v>110</v>
      </c>
      <c r="E68" s="48" t="s">
        <v>101</v>
      </c>
      <c r="F68" s="50" t="s">
        <v>102</v>
      </c>
      <c r="G68" s="49">
        <v>24.7</v>
      </c>
      <c r="H68" s="393" t="str">
        <f>IF(AND(ISNUMBER(HLOOKUP(Table4[[#This Row],[Crop]],Input_Scenario,10,FALSE)),ISNUMBER(HLOOKUP(Table4[[#This Row],[Crop]],Input_Scenario,5,FALSE))),Table4[[#This Row],[SV90]]*HLOOKUP(Table4[[#This Row],[Crop]],Input_Scenario,10,FALSE)*HLOOKUP(Table4[[#This Row],[Crop]],Input_Scenario,5,FALSE),"")</f>
        <v/>
      </c>
      <c r="I68" s="394" t="str">
        <f ca="1">IF(AND(ISNUMBER($D$12),ISNUMBER(Table4[[#This Row],[DDD90 (mg/kg bw/d)]])),$D$48/Table4[[#This Row],[DDD90 (mg/kg bw/d)]],"")</f>
        <v/>
      </c>
      <c r="J68" s="194" t="str">
        <f ca="1">IF(ISNUMBER(Table4[[#This Row],[TERmix]]),"Input provided","No input")</f>
        <v>No input</v>
      </c>
      <c r="K68" s="33"/>
      <c r="L68" s="37"/>
      <c r="P68" s="33"/>
    </row>
    <row r="69" spans="1:16" s="36" customFormat="1" ht="14.45" customHeight="1">
      <c r="A69" s="21"/>
      <c r="B69" s="195"/>
      <c r="C69" s="48" t="s">
        <v>107</v>
      </c>
      <c r="D69" s="48" t="s">
        <v>109</v>
      </c>
      <c r="E69" s="48" t="s">
        <v>103</v>
      </c>
      <c r="F69" s="50" t="s">
        <v>104</v>
      </c>
      <c r="G69" s="49">
        <v>14.4</v>
      </c>
      <c r="H69" s="393" t="str">
        <f>IF(AND(ISNUMBER(HLOOKUP(Table4[[#This Row],[Crop]],Input_Scenario,10,FALSE)),ISNUMBER(HLOOKUP(Table4[[#This Row],[Crop]],Input_Scenario,5,FALSE))),Table4[[#This Row],[SV90]]*HLOOKUP(Table4[[#This Row],[Crop]],Input_Scenario,10,FALSE)*HLOOKUP(Table4[[#This Row],[Crop]],Input_Scenario,5,FALSE),"")</f>
        <v/>
      </c>
      <c r="I69" s="394" t="str">
        <f ca="1">IF(AND(ISNUMBER($D$12),ISNUMBER(Table4[[#This Row],[DDD90 (mg/kg bw/d)]])),$D$48/Table4[[#This Row],[DDD90 (mg/kg bw/d)]],"")</f>
        <v/>
      </c>
      <c r="J69" s="194" t="str">
        <f ca="1">IF(ISNUMBER(Table4[[#This Row],[TERmix]]),"Input provided","No input")</f>
        <v>No input</v>
      </c>
      <c r="K69" s="33"/>
      <c r="L69" s="37"/>
      <c r="P69" s="33"/>
    </row>
    <row r="70" spans="1:16" s="36" customFormat="1" ht="14.45" customHeight="1">
      <c r="A70" s="21"/>
      <c r="B70" s="195"/>
      <c r="C70" s="48" t="s">
        <v>107</v>
      </c>
      <c r="D70" s="48" t="s">
        <v>110</v>
      </c>
      <c r="E70" s="48" t="s">
        <v>103</v>
      </c>
      <c r="F70" s="50" t="s">
        <v>104</v>
      </c>
      <c r="G70" s="49">
        <v>24</v>
      </c>
      <c r="H70" s="393" t="str">
        <f>IF(AND(ISNUMBER(HLOOKUP(Table4[[#This Row],[Crop]],Input_Scenario,10,FALSE)),ISNUMBER(HLOOKUP(Table4[[#This Row],[Crop]],Input_Scenario,5,FALSE))),Table4[[#This Row],[SV90]]*HLOOKUP(Table4[[#This Row],[Crop]],Input_Scenario,10,FALSE)*HLOOKUP(Table4[[#This Row],[Crop]],Input_Scenario,5,FALSE),"")</f>
        <v/>
      </c>
      <c r="I70" s="394" t="str">
        <f ca="1">IF(AND(ISNUMBER($D$12),ISNUMBER(Table4[[#This Row],[DDD90 (mg/kg bw/d)]])),$D$48/Table4[[#This Row],[DDD90 (mg/kg bw/d)]],"")</f>
        <v/>
      </c>
      <c r="J70" s="194" t="str">
        <f ca="1">IF(ISNUMBER(Table4[[#This Row],[TERmix]]),"Input provided","No input")</f>
        <v>No input</v>
      </c>
      <c r="K70" s="33"/>
      <c r="L70" s="37"/>
      <c r="P70" s="33"/>
    </row>
    <row r="71" spans="1:16" s="36" customFormat="1" ht="14.45" customHeight="1">
      <c r="A71" s="21"/>
      <c r="B71" s="195"/>
      <c r="C71" s="48" t="s">
        <v>107</v>
      </c>
      <c r="D71" s="48" t="s">
        <v>111</v>
      </c>
      <c r="E71" s="48" t="s">
        <v>105</v>
      </c>
      <c r="F71" s="50" t="s">
        <v>106</v>
      </c>
      <c r="G71" s="49">
        <v>25.2</v>
      </c>
      <c r="H71" s="393" t="str">
        <f>IF(AND(ISNUMBER(HLOOKUP(Table4[[#This Row],[Crop]],Input_Scenario,10,FALSE)),ISNUMBER(HLOOKUP(Table4[[#This Row],[Crop]],Input_Scenario,5,FALSE))),Table4[[#This Row],[SV90]]*HLOOKUP(Table4[[#This Row],[Crop]],Input_Scenario,10,FALSE)*HLOOKUP(Table4[[#This Row],[Crop]],Input_Scenario,5,FALSE),"")</f>
        <v/>
      </c>
      <c r="I71" s="394" t="str">
        <f ca="1">IF(AND(ISNUMBER($D$12),ISNUMBER(Table4[[#This Row],[DDD90 (mg/kg bw/d)]])),$D$48/Table4[[#This Row],[DDD90 (mg/kg bw/d)]],"")</f>
        <v/>
      </c>
      <c r="J71" s="194" t="str">
        <f ca="1">IF(ISNUMBER(Table4[[#This Row],[TERmix]]),"Input provided","No input")</f>
        <v>No input</v>
      </c>
      <c r="K71" s="33"/>
      <c r="L71" s="37"/>
      <c r="P71" s="33"/>
    </row>
    <row r="72" spans="1:16" s="36" customFormat="1" ht="14.45" customHeight="1">
      <c r="A72" s="21"/>
      <c r="B72" s="195"/>
      <c r="C72" s="48" t="s">
        <v>112</v>
      </c>
      <c r="D72" s="48" t="s">
        <v>113</v>
      </c>
      <c r="E72" s="48" t="s">
        <v>114</v>
      </c>
      <c r="F72" s="50" t="s">
        <v>115</v>
      </c>
      <c r="G72" s="49">
        <v>46.3</v>
      </c>
      <c r="H72" s="393" t="str">
        <f>IF(AND(ISNUMBER(HLOOKUP(Table4[[#This Row],[Crop]],Input_Scenario,10,FALSE)),ISNUMBER(HLOOKUP(Table4[[#This Row],[Crop]],Input_Scenario,5,FALSE))),Table4[[#This Row],[SV90]]*HLOOKUP(Table4[[#This Row],[Crop]],Input_Scenario,10,FALSE)*HLOOKUP(Table4[[#This Row],[Crop]],Input_Scenario,5,FALSE),"")</f>
        <v/>
      </c>
      <c r="I72" s="394" t="str">
        <f ca="1">IF(AND(ISNUMBER($D$12),ISNUMBER(Table4[[#This Row],[DDD90 (mg/kg bw/d)]])),$D$48/Table4[[#This Row],[DDD90 (mg/kg bw/d)]],"")</f>
        <v/>
      </c>
      <c r="J72" s="194" t="str">
        <f ca="1">IF(ISNUMBER(Table4[[#This Row],[TERmix]]),"Input provided","No input")</f>
        <v>No input</v>
      </c>
      <c r="K72" s="33"/>
      <c r="L72" s="37"/>
      <c r="O72" s="46"/>
      <c r="P72" s="33"/>
    </row>
    <row r="73" spans="1:16" s="36" customFormat="1" ht="14.45" customHeight="1">
      <c r="A73" s="21"/>
      <c r="B73" s="195"/>
      <c r="C73" s="48" t="s">
        <v>112</v>
      </c>
      <c r="D73" s="48" t="s">
        <v>116</v>
      </c>
      <c r="E73" s="48" t="s">
        <v>105</v>
      </c>
      <c r="F73" s="50" t="s">
        <v>117</v>
      </c>
      <c r="G73" s="49">
        <v>52.2</v>
      </c>
      <c r="H73" s="393" t="str">
        <f>IF(AND(ISNUMBER(HLOOKUP(Table4[[#This Row],[Crop]],Input_Scenario,10,FALSE)),ISNUMBER(HLOOKUP(Table4[[#This Row],[Crop]],Input_Scenario,5,FALSE))),Table4[[#This Row],[SV90]]*HLOOKUP(Table4[[#This Row],[Crop]],Input_Scenario,10,FALSE)*HLOOKUP(Table4[[#This Row],[Crop]],Input_Scenario,5,FALSE),"")</f>
        <v/>
      </c>
      <c r="I73" s="394" t="str">
        <f ca="1">IF(AND(ISNUMBER($D$12),ISNUMBER(Table4[[#This Row],[DDD90 (mg/kg bw/d)]])),$D$48/Table4[[#This Row],[DDD90 (mg/kg bw/d)]],"")</f>
        <v/>
      </c>
      <c r="J73" s="194" t="str">
        <f ca="1">IF(ISNUMBER(Table4[[#This Row],[TERmix]]),"Input provided","No input")</f>
        <v>No input</v>
      </c>
      <c r="K73" s="33"/>
      <c r="L73" s="37"/>
      <c r="P73" s="33"/>
    </row>
    <row r="74" spans="1:16" s="36" customFormat="1" ht="14.45" customHeight="1">
      <c r="A74" s="21"/>
      <c r="B74" s="195"/>
      <c r="C74" s="48" t="s">
        <v>118</v>
      </c>
      <c r="D74" s="48" t="s">
        <v>119</v>
      </c>
      <c r="E74" s="48" t="s">
        <v>103</v>
      </c>
      <c r="F74" s="50" t="s">
        <v>104</v>
      </c>
      <c r="G74" s="49">
        <v>24</v>
      </c>
      <c r="H74" s="393" t="str">
        <f>IF(AND(ISNUMBER(HLOOKUP(Table4[[#This Row],[Crop]],Input_Scenario,10,FALSE)),ISNUMBER(HLOOKUP(Table4[[#This Row],[Crop]],Input_Scenario,5,FALSE))),Table4[[#This Row],[SV90]]*HLOOKUP(Table4[[#This Row],[Crop]],Input_Scenario,10,FALSE)*HLOOKUP(Table4[[#This Row],[Crop]],Input_Scenario,5,FALSE),"")</f>
        <v/>
      </c>
      <c r="I74" s="394" t="str">
        <f ca="1">IF(AND(ISNUMBER($D$12),ISNUMBER(Table4[[#This Row],[DDD90 (mg/kg bw/d)]])),$D$48/Table4[[#This Row],[DDD90 (mg/kg bw/d)]],"")</f>
        <v/>
      </c>
      <c r="J74" s="194" t="str">
        <f ca="1">IF(ISNUMBER(Table4[[#This Row],[TERmix]]),"Input provided","No input")</f>
        <v>No input</v>
      </c>
      <c r="K74" s="33"/>
      <c r="L74" s="37"/>
      <c r="P74" s="33"/>
    </row>
    <row r="75" spans="1:16" s="36" customFormat="1" ht="14.45" customHeight="1">
      <c r="A75" s="21"/>
      <c r="B75" s="195"/>
      <c r="C75" s="48" t="s">
        <v>118</v>
      </c>
      <c r="D75" s="48" t="s">
        <v>120</v>
      </c>
      <c r="E75" s="48" t="s">
        <v>121</v>
      </c>
      <c r="F75" s="50" t="s">
        <v>122</v>
      </c>
      <c r="G75" s="49">
        <v>30.5</v>
      </c>
      <c r="H75" s="393" t="str">
        <f>IF(AND(ISNUMBER(HLOOKUP(Table4[[#This Row],[Crop]],Input_Scenario,10,FALSE)),ISNUMBER(HLOOKUP(Table4[[#This Row],[Crop]],Input_Scenario,5,FALSE))),Table4[[#This Row],[SV90]]*HLOOKUP(Table4[[#This Row],[Crop]],Input_Scenario,10,FALSE)*HLOOKUP(Table4[[#This Row],[Crop]],Input_Scenario,5,FALSE),"")</f>
        <v/>
      </c>
      <c r="I75" s="394" t="str">
        <f ca="1">IF(AND(ISNUMBER($D$12),ISNUMBER(Table4[[#This Row],[DDD90 (mg/kg bw/d)]])),$D$48/Table4[[#This Row],[DDD90 (mg/kg bw/d)]],"")</f>
        <v/>
      </c>
      <c r="J75" s="194" t="str">
        <f ca="1">IF(ISNUMBER(Table4[[#This Row],[TERmix]]),"Input provided","No input")</f>
        <v>No input</v>
      </c>
      <c r="K75" s="33"/>
      <c r="L75" s="37"/>
      <c r="P75" s="33"/>
    </row>
    <row r="76" spans="1:16" s="36" customFormat="1" ht="14.45" customHeight="1">
      <c r="A76" s="21"/>
      <c r="B76" s="195"/>
      <c r="C76" s="48" t="s">
        <v>118</v>
      </c>
      <c r="D76" s="48" t="s">
        <v>123</v>
      </c>
      <c r="E76" s="48" t="s">
        <v>103</v>
      </c>
      <c r="F76" s="50" t="s">
        <v>104</v>
      </c>
      <c r="G76" s="49">
        <v>12</v>
      </c>
      <c r="H76" s="393" t="str">
        <f>IF(AND(ISNUMBER(HLOOKUP(Table4[[#This Row],[Crop]],Input_Scenario,10,FALSE)),ISNUMBER(HLOOKUP(Table4[[#This Row],[Crop]],Input_Scenario,5,FALSE))),Table4[[#This Row],[SV90]]*HLOOKUP(Table4[[#This Row],[Crop]],Input_Scenario,10,FALSE)*HLOOKUP(Table4[[#This Row],[Crop]],Input_Scenario,5,FALSE),"")</f>
        <v/>
      </c>
      <c r="I76" s="394" t="str">
        <f ca="1">IF(AND(ISNUMBER($D$12),ISNUMBER(Table4[[#This Row],[DDD90 (mg/kg bw/d)]])),$D$48/Table4[[#This Row],[DDD90 (mg/kg bw/d)]],"")</f>
        <v/>
      </c>
      <c r="J76" s="194" t="str">
        <f ca="1">IF(ISNUMBER(Table4[[#This Row],[TERmix]]),"Input provided","No input")</f>
        <v>No input</v>
      </c>
      <c r="K76" s="33"/>
      <c r="L76" s="37"/>
      <c r="P76" s="33"/>
    </row>
    <row r="77" spans="1:16" s="36" customFormat="1" ht="14.45" customHeight="1">
      <c r="A77" s="21"/>
      <c r="B77" s="195"/>
      <c r="C77" s="48" t="s">
        <v>118</v>
      </c>
      <c r="D77" s="48" t="s">
        <v>124</v>
      </c>
      <c r="E77" s="48" t="s">
        <v>105</v>
      </c>
      <c r="F77" s="50" t="s">
        <v>125</v>
      </c>
      <c r="G77" s="49">
        <v>57.6</v>
      </c>
      <c r="H77" s="393" t="str">
        <f>IF(AND(ISNUMBER(HLOOKUP(Table4[[#This Row],[Crop]],Input_Scenario,10,FALSE)),ISNUMBER(HLOOKUP(Table4[[#This Row],[Crop]],Input_Scenario,5,FALSE))),Table4[[#This Row],[SV90]]*HLOOKUP(Table4[[#This Row],[Crop]],Input_Scenario,10,FALSE)*HLOOKUP(Table4[[#This Row],[Crop]],Input_Scenario,5,FALSE),"")</f>
        <v/>
      </c>
      <c r="I77" s="394" t="str">
        <f ca="1">IF(AND(ISNUMBER($D$12),ISNUMBER(Table4[[#This Row],[DDD90 (mg/kg bw/d)]])),$D$48/Table4[[#This Row],[DDD90 (mg/kg bw/d)]],"")</f>
        <v/>
      </c>
      <c r="J77" s="194" t="str">
        <f ca="1">IF(ISNUMBER(Table4[[#This Row],[TERmix]]),"Input provided","No input")</f>
        <v>No input</v>
      </c>
      <c r="K77" s="33"/>
      <c r="L77" s="37"/>
      <c r="P77" s="33"/>
    </row>
    <row r="78" spans="1:16" s="36" customFormat="1" ht="14.45" customHeight="1">
      <c r="A78" s="21"/>
      <c r="B78" s="195"/>
      <c r="C78" s="48" t="s">
        <v>118</v>
      </c>
      <c r="D78" s="48" t="s">
        <v>109</v>
      </c>
      <c r="E78" s="48" t="s">
        <v>103</v>
      </c>
      <c r="F78" s="50" t="s">
        <v>104</v>
      </c>
      <c r="G78" s="49">
        <v>7.2</v>
      </c>
      <c r="H78" s="393" t="str">
        <f>IF(AND(ISNUMBER(HLOOKUP(Table4[[#This Row],[Crop]],Input_Scenario,10,FALSE)),ISNUMBER(HLOOKUP(Table4[[#This Row],[Crop]],Input_Scenario,5,FALSE))),Table4[[#This Row],[SV90]]*HLOOKUP(Table4[[#This Row],[Crop]],Input_Scenario,10,FALSE)*HLOOKUP(Table4[[#This Row],[Crop]],Input_Scenario,5,FALSE),"")</f>
        <v/>
      </c>
      <c r="I78" s="394" t="str">
        <f ca="1">IF(AND(ISNUMBER($D$12),ISNUMBER(Table4[[#This Row],[DDD90 (mg/kg bw/d)]])),$D$48/Table4[[#This Row],[DDD90 (mg/kg bw/d)]],"")</f>
        <v/>
      </c>
      <c r="J78" s="194" t="str">
        <f ca="1">IF(ISNUMBER(Table4[[#This Row],[TERmix]]),"Input provided","No input")</f>
        <v>No input</v>
      </c>
      <c r="K78" s="33"/>
      <c r="L78" s="37"/>
      <c r="P78" s="33"/>
    </row>
    <row r="79" spans="1:16" s="36" customFormat="1" ht="14.45" customHeight="1">
      <c r="A79" s="21"/>
      <c r="B79" s="195"/>
      <c r="C79" s="48" t="s">
        <v>118</v>
      </c>
      <c r="D79" s="48" t="s">
        <v>126</v>
      </c>
      <c r="E79" s="48" t="s">
        <v>127</v>
      </c>
      <c r="F79" s="50" t="s">
        <v>128</v>
      </c>
      <c r="G79" s="49">
        <v>27</v>
      </c>
      <c r="H79" s="393" t="str">
        <f>IF(AND(ISNUMBER(HLOOKUP(Table4[[#This Row],[Crop]],Input_Scenario,10,FALSE)),ISNUMBER(HLOOKUP(Table4[[#This Row],[Crop]],Input_Scenario,5,FALSE))),Table4[[#This Row],[SV90]]*HLOOKUP(Table4[[#This Row],[Crop]],Input_Scenario,10,FALSE)*HLOOKUP(Table4[[#This Row],[Crop]],Input_Scenario,5,FALSE),"")</f>
        <v/>
      </c>
      <c r="I79" s="394" t="str">
        <f ca="1">IF(AND(ISNUMBER($D$12),ISNUMBER(Table4[[#This Row],[DDD90 (mg/kg bw/d)]])),$D$48/Table4[[#This Row],[DDD90 (mg/kg bw/d)]],"")</f>
        <v/>
      </c>
      <c r="J79" s="194" t="str">
        <f ca="1">IF(ISNUMBER(Table4[[#This Row],[TERmix]]),"Input provided","No input")</f>
        <v>No input</v>
      </c>
      <c r="K79" s="33"/>
      <c r="L79" s="37"/>
      <c r="P79" s="33"/>
    </row>
    <row r="80" spans="1:16" s="36" customFormat="1" ht="14.45" customHeight="1">
      <c r="A80" s="21"/>
      <c r="B80" s="195"/>
      <c r="C80" s="48" t="s">
        <v>129</v>
      </c>
      <c r="D80" s="48" t="s">
        <v>108</v>
      </c>
      <c r="E80" s="48" t="s">
        <v>130</v>
      </c>
      <c r="F80" s="50" t="s">
        <v>131</v>
      </c>
      <c r="G80" s="49">
        <v>4.2</v>
      </c>
      <c r="H80" s="393" t="str">
        <f>IF(AND(ISNUMBER(HLOOKUP(Table4[[#This Row],[Crop]],Input_Scenario,10,FALSE)),ISNUMBER(HLOOKUP(Table4[[#This Row],[Crop]],Input_Scenario,5,FALSE))),Table4[[#This Row],[SV90]]*HLOOKUP(Table4[[#This Row],[Crop]],Input_Scenario,10,FALSE)*HLOOKUP(Table4[[#This Row],[Crop]],Input_Scenario,5,FALSE),"")</f>
        <v/>
      </c>
      <c r="I80" s="394" t="str">
        <f ca="1">IF(AND(ISNUMBER($D$12),ISNUMBER(Table4[[#This Row],[DDD90 (mg/kg bw/d)]])),$D$48/Table4[[#This Row],[DDD90 (mg/kg bw/d)]],"")</f>
        <v/>
      </c>
      <c r="J80" s="194" t="str">
        <f ca="1">IF(ISNUMBER(Table4[[#This Row],[TERmix]]),"Input provided","No input")</f>
        <v>No input</v>
      </c>
      <c r="K80" s="33"/>
      <c r="L80" s="37"/>
      <c r="P80" s="33"/>
    </row>
    <row r="81" spans="1:16" s="36" customFormat="1" ht="14.45" customHeight="1">
      <c r="A81" s="21"/>
      <c r="B81" s="195"/>
      <c r="C81" s="48" t="s">
        <v>129</v>
      </c>
      <c r="D81" s="48" t="s">
        <v>111</v>
      </c>
      <c r="E81" s="48" t="s">
        <v>130</v>
      </c>
      <c r="F81" s="50" t="s">
        <v>131</v>
      </c>
      <c r="G81" s="49">
        <v>3</v>
      </c>
      <c r="H81" s="393" t="str">
        <f>IF(AND(ISNUMBER(HLOOKUP(Table4[[#This Row],[Crop]],Input_Scenario,10,FALSE)),ISNUMBER(HLOOKUP(Table4[[#This Row],[Crop]],Input_Scenario,5,FALSE))),Table4[[#This Row],[SV90]]*HLOOKUP(Table4[[#This Row],[Crop]],Input_Scenario,10,FALSE)*HLOOKUP(Table4[[#This Row],[Crop]],Input_Scenario,5,FALSE),"")</f>
        <v/>
      </c>
      <c r="I81" s="394" t="str">
        <f ca="1">IF(AND(ISNUMBER($D$12),ISNUMBER(Table4[[#This Row],[DDD90 (mg/kg bw/d)]])),$D$48/Table4[[#This Row],[DDD90 (mg/kg bw/d)]],"")</f>
        <v/>
      </c>
      <c r="J81" s="194" t="str">
        <f ca="1">IF(ISNUMBER(Table4[[#This Row],[TERmix]]),"Input provided","No input")</f>
        <v>No input</v>
      </c>
      <c r="K81" s="33"/>
      <c r="L81" s="37"/>
      <c r="P81" s="33"/>
    </row>
    <row r="82" spans="1:16" s="36" customFormat="1" ht="14.25" customHeight="1">
      <c r="A82" s="21"/>
      <c r="B82" s="195"/>
      <c r="C82" s="48" t="s">
        <v>129</v>
      </c>
      <c r="D82" s="48" t="s">
        <v>132</v>
      </c>
      <c r="E82" s="48" t="s">
        <v>103</v>
      </c>
      <c r="F82" s="50" t="s">
        <v>133</v>
      </c>
      <c r="G82" s="49">
        <v>17.7</v>
      </c>
      <c r="H82" s="393" t="str">
        <f>IF(AND(ISNUMBER(HLOOKUP(Table4[[#This Row],[Crop]],Input_Scenario,10,FALSE)),ISNUMBER(HLOOKUP(Table4[[#This Row],[Crop]],Input_Scenario,5,FALSE))),Table4[[#This Row],[SV90]]*HLOOKUP(Table4[[#This Row],[Crop]],Input_Scenario,10,FALSE)*HLOOKUP(Table4[[#This Row],[Crop]],Input_Scenario,5,FALSE),"")</f>
        <v/>
      </c>
      <c r="I82" s="394" t="str">
        <f ca="1">IF(AND(ISNUMBER($D$12),ISNUMBER(Table4[[#This Row],[DDD90 (mg/kg bw/d)]])),$D$48/Table4[[#This Row],[DDD90 (mg/kg bw/d)]],"")</f>
        <v/>
      </c>
      <c r="J82" s="194" t="str">
        <f ca="1">IF(ISNUMBER(Table4[[#This Row],[TERmix]]),"Input provided","No input")</f>
        <v>No input</v>
      </c>
      <c r="K82" s="33"/>
      <c r="L82" s="37"/>
      <c r="P82" s="33"/>
    </row>
    <row r="83" spans="1:16" s="36" customFormat="1" ht="14.45" customHeight="1">
      <c r="A83" s="21"/>
      <c r="B83" s="195"/>
      <c r="C83" s="48" t="s">
        <v>129</v>
      </c>
      <c r="D83" s="48" t="s">
        <v>134</v>
      </c>
      <c r="E83" s="48" t="s">
        <v>103</v>
      </c>
      <c r="F83" s="50" t="s">
        <v>133</v>
      </c>
      <c r="G83" s="49">
        <v>4.4000000000000004</v>
      </c>
      <c r="H83" s="393" t="str">
        <f>IF(AND(ISNUMBER(HLOOKUP(Table4[[#This Row],[Crop]],Input_Scenario,10,FALSE)),ISNUMBER(HLOOKUP(Table4[[#This Row],[Crop]],Input_Scenario,5,FALSE))),Table4[[#This Row],[SV90]]*HLOOKUP(Table4[[#This Row],[Crop]],Input_Scenario,10,FALSE)*HLOOKUP(Table4[[#This Row],[Crop]],Input_Scenario,5,FALSE),"")</f>
        <v/>
      </c>
      <c r="I83" s="394" t="str">
        <f ca="1">IF(AND(ISNUMBER($D$12),ISNUMBER(Table4[[#This Row],[DDD90 (mg/kg bw/d)]])),$D$48/Table4[[#This Row],[DDD90 (mg/kg bw/d)]],"")</f>
        <v/>
      </c>
      <c r="J83" s="194" t="str">
        <f ca="1">IF(ISNUMBER(Table4[[#This Row],[TERmix]]),"Input provided","No input")</f>
        <v>No input</v>
      </c>
      <c r="K83" s="33"/>
      <c r="L83" s="37"/>
      <c r="P83" s="33"/>
    </row>
    <row r="84" spans="1:16" s="36" customFormat="1" ht="14.45" customHeight="1">
      <c r="A84" s="21"/>
      <c r="B84" s="195"/>
      <c r="C84" s="48" t="s">
        <v>135</v>
      </c>
      <c r="D84" s="48" t="s">
        <v>136</v>
      </c>
      <c r="E84" s="48" t="s">
        <v>114</v>
      </c>
      <c r="F84" s="50" t="s">
        <v>137</v>
      </c>
      <c r="G84" s="49">
        <v>57.4</v>
      </c>
      <c r="H84" s="393" t="str">
        <f>IF(AND(ISNUMBER(HLOOKUP(Table4[[#This Row],[Crop]],Input_Scenario,10,FALSE)),ISNUMBER(HLOOKUP(Table4[[#This Row],[Crop]],Input_Scenario,5,FALSE))),Table4[[#This Row],[SV90]]*HLOOKUP(Table4[[#This Row],[Crop]],Input_Scenario,10,FALSE)*HLOOKUP(Table4[[#This Row],[Crop]],Input_Scenario,5,FALSE),"")</f>
        <v/>
      </c>
      <c r="I84" s="394" t="str">
        <f ca="1">IF(AND(ISNUMBER($D$12),ISNUMBER(Table4[[#This Row],[DDD90 (mg/kg bw/d)]])),$D$48/Table4[[#This Row],[DDD90 (mg/kg bw/d)]],"")</f>
        <v/>
      </c>
      <c r="J84" s="194" t="str">
        <f ca="1">IF(ISNUMBER(Table4[[#This Row],[TERmix]]),"Input provided","No input")</f>
        <v>No input</v>
      </c>
      <c r="K84" s="33"/>
      <c r="L84" s="37"/>
      <c r="P84" s="33"/>
    </row>
    <row r="85" spans="1:16" s="36" customFormat="1" ht="14.45" customHeight="1">
      <c r="A85" s="21"/>
      <c r="B85" s="195"/>
      <c r="C85" s="48" t="s">
        <v>135</v>
      </c>
      <c r="D85" s="48" t="s">
        <v>132</v>
      </c>
      <c r="E85" s="48" t="s">
        <v>101</v>
      </c>
      <c r="F85" s="50" t="s">
        <v>102</v>
      </c>
      <c r="G85" s="49">
        <v>24.7</v>
      </c>
      <c r="H85" s="393" t="str">
        <f>IF(AND(ISNUMBER(HLOOKUP(Table4[[#This Row],[Crop]],Input_Scenario,10,FALSE)),ISNUMBER(HLOOKUP(Table4[[#This Row],[Crop]],Input_Scenario,5,FALSE))),Table4[[#This Row],[SV90]]*HLOOKUP(Table4[[#This Row],[Crop]],Input_Scenario,10,FALSE)*HLOOKUP(Table4[[#This Row],[Crop]],Input_Scenario,5,FALSE),"")</f>
        <v/>
      </c>
      <c r="I85" s="394" t="str">
        <f ca="1">IF(AND(ISNUMBER($D$12),ISNUMBER(Table4[[#This Row],[DDD90 (mg/kg bw/d)]])),$D$48/Table4[[#This Row],[DDD90 (mg/kg bw/d)]],"")</f>
        <v/>
      </c>
      <c r="J85" s="194" t="str">
        <f ca="1">IF(ISNUMBER(Table4[[#This Row],[TERmix]]),"Input provided","No input")</f>
        <v>No input</v>
      </c>
      <c r="K85" s="33"/>
      <c r="L85" s="37"/>
      <c r="P85" s="33"/>
    </row>
    <row r="86" spans="1:16" s="36" customFormat="1" ht="14.45" customHeight="1">
      <c r="A86" s="21"/>
      <c r="B86" s="195"/>
      <c r="C86" s="48" t="s">
        <v>135</v>
      </c>
      <c r="D86" s="48" t="s">
        <v>108</v>
      </c>
      <c r="E86" s="48" t="s">
        <v>105</v>
      </c>
      <c r="F86" s="50" t="s">
        <v>106</v>
      </c>
      <c r="G86" s="49">
        <v>26.8</v>
      </c>
      <c r="H86" s="393" t="str">
        <f>IF(AND(ISNUMBER(HLOOKUP(Table4[[#This Row],[Crop]],Input_Scenario,10,FALSE)),ISNUMBER(HLOOKUP(Table4[[#This Row],[Crop]],Input_Scenario,5,FALSE))),Table4[[#This Row],[SV90]]*HLOOKUP(Table4[[#This Row],[Crop]],Input_Scenario,10,FALSE)*HLOOKUP(Table4[[#This Row],[Crop]],Input_Scenario,5,FALSE),"")</f>
        <v/>
      </c>
      <c r="I86" s="394" t="str">
        <f ca="1">IF(AND(ISNUMBER($D$12),ISNUMBER(Table4[[#This Row],[DDD90 (mg/kg bw/d)]])),$D$48/Table4[[#This Row],[DDD90 (mg/kg bw/d)]],"")</f>
        <v/>
      </c>
      <c r="J86" s="194" t="str">
        <f ca="1">IF(ISNUMBER(Table4[[#This Row],[TERmix]]),"Input provided","No input")</f>
        <v>No input</v>
      </c>
      <c r="K86" s="33"/>
      <c r="L86" s="37"/>
      <c r="P86" s="33"/>
    </row>
    <row r="87" spans="1:16" s="36" customFormat="1" ht="14.45" customHeight="1">
      <c r="A87" s="21"/>
      <c r="B87" s="195"/>
      <c r="C87" s="48" t="s">
        <v>135</v>
      </c>
      <c r="D87" s="48" t="s">
        <v>132</v>
      </c>
      <c r="E87" s="48" t="s">
        <v>103</v>
      </c>
      <c r="F87" s="50" t="s">
        <v>104</v>
      </c>
      <c r="G87" s="49">
        <v>24</v>
      </c>
      <c r="H87" s="393" t="str">
        <f>IF(AND(ISNUMBER(HLOOKUP(Table4[[#This Row],[Crop]],Input_Scenario,10,FALSE)),ISNUMBER(HLOOKUP(Table4[[#This Row],[Crop]],Input_Scenario,5,FALSE))),Table4[[#This Row],[SV90]]*HLOOKUP(Table4[[#This Row],[Crop]],Input_Scenario,10,FALSE)*HLOOKUP(Table4[[#This Row],[Crop]],Input_Scenario,5,FALSE),"")</f>
        <v/>
      </c>
      <c r="I87" s="394" t="str">
        <f ca="1">IF(AND(ISNUMBER($D$12),ISNUMBER(Table4[[#This Row],[DDD90 (mg/kg bw/d)]])),$D$48/Table4[[#This Row],[DDD90 (mg/kg bw/d)]],"")</f>
        <v/>
      </c>
      <c r="J87" s="194" t="str">
        <f ca="1">IF(ISNUMBER(Table4[[#This Row],[TERmix]]),"Input provided","No input")</f>
        <v>No input</v>
      </c>
      <c r="K87" s="33"/>
      <c r="L87" s="37"/>
      <c r="P87" s="33"/>
    </row>
    <row r="88" spans="1:16" s="36" customFormat="1" ht="14.45" customHeight="1">
      <c r="A88" s="21"/>
      <c r="B88" s="195"/>
      <c r="C88" s="48" t="s">
        <v>135</v>
      </c>
      <c r="D88" s="48" t="s">
        <v>134</v>
      </c>
      <c r="E88" s="48" t="s">
        <v>101</v>
      </c>
      <c r="F88" s="50" t="s">
        <v>102</v>
      </c>
      <c r="G88" s="49">
        <v>7.4</v>
      </c>
      <c r="H88" s="393" t="str">
        <f>IF(AND(ISNUMBER(HLOOKUP(Table4[[#This Row],[Crop]],Input_Scenario,10,FALSE)),ISNUMBER(HLOOKUP(Table4[[#This Row],[Crop]],Input_Scenario,5,FALSE))),Table4[[#This Row],[SV90]]*HLOOKUP(Table4[[#This Row],[Crop]],Input_Scenario,10,FALSE)*HLOOKUP(Table4[[#This Row],[Crop]],Input_Scenario,5,FALSE),"")</f>
        <v/>
      </c>
      <c r="I88" s="394" t="str">
        <f ca="1">IF(AND(ISNUMBER($D$12),ISNUMBER(Table4[[#This Row],[DDD90 (mg/kg bw/d)]])),$D$48/Table4[[#This Row],[DDD90 (mg/kg bw/d)]],"")</f>
        <v/>
      </c>
      <c r="J88" s="194" t="str">
        <f ca="1">IF(ISNUMBER(Table4[[#This Row],[TERmix]]),"Input provided","No input")</f>
        <v>No input</v>
      </c>
      <c r="K88" s="33"/>
      <c r="L88" s="37"/>
      <c r="P88" s="33"/>
    </row>
    <row r="89" spans="1:16" s="36" customFormat="1" ht="14.45" customHeight="1">
      <c r="A89" s="21"/>
      <c r="B89" s="195"/>
      <c r="C89" s="48" t="s">
        <v>135</v>
      </c>
      <c r="D89" s="48" t="s">
        <v>136</v>
      </c>
      <c r="E89" s="48" t="s">
        <v>114</v>
      </c>
      <c r="F89" s="50" t="s">
        <v>138</v>
      </c>
      <c r="G89" s="49">
        <v>49.4</v>
      </c>
      <c r="H89" s="393" t="str">
        <f>IF(AND(ISNUMBER(HLOOKUP(Table4[[#This Row],[Crop]],Input_Scenario,10,FALSE)),ISNUMBER(HLOOKUP(Table4[[#This Row],[Crop]],Input_Scenario,5,FALSE))),Table4[[#This Row],[SV90]]*HLOOKUP(Table4[[#This Row],[Crop]],Input_Scenario,10,FALSE)*HLOOKUP(Table4[[#This Row],[Crop]],Input_Scenario,5,FALSE),"")</f>
        <v/>
      </c>
      <c r="I89" s="394" t="str">
        <f ca="1">IF(AND(ISNUMBER($D$12),ISNUMBER(Table4[[#This Row],[DDD90 (mg/kg bw/d)]])),$D$48/Table4[[#This Row],[DDD90 (mg/kg bw/d)]],"")</f>
        <v/>
      </c>
      <c r="J89" s="194" t="str">
        <f ca="1">IF(ISNUMBER(Table4[[#This Row],[TERmix]]),"Input provided","No input")</f>
        <v>No input</v>
      </c>
      <c r="K89" s="33"/>
      <c r="L89" s="37"/>
      <c r="P89" s="33"/>
    </row>
    <row r="90" spans="1:16" s="36" customFormat="1" ht="14.45" customHeight="1">
      <c r="A90" s="21"/>
      <c r="B90" s="195"/>
      <c r="C90" s="48" t="s">
        <v>135</v>
      </c>
      <c r="D90" s="48" t="s">
        <v>134</v>
      </c>
      <c r="E90" s="48" t="s">
        <v>103</v>
      </c>
      <c r="F90" s="50" t="s">
        <v>104</v>
      </c>
      <c r="G90" s="49">
        <v>7.2</v>
      </c>
      <c r="H90" s="393" t="str">
        <f>IF(AND(ISNUMBER(HLOOKUP(Table4[[#This Row],[Crop]],Input_Scenario,10,FALSE)),ISNUMBER(HLOOKUP(Table4[[#This Row],[Crop]],Input_Scenario,5,FALSE))),Table4[[#This Row],[SV90]]*HLOOKUP(Table4[[#This Row],[Crop]],Input_Scenario,10,FALSE)*HLOOKUP(Table4[[#This Row],[Crop]],Input_Scenario,5,FALSE),"")</f>
        <v/>
      </c>
      <c r="I90" s="394" t="str">
        <f ca="1">IF(AND(ISNUMBER($D$12),ISNUMBER(Table4[[#This Row],[DDD90 (mg/kg bw/d)]])),$D$48/Table4[[#This Row],[DDD90 (mg/kg bw/d)]],"")</f>
        <v/>
      </c>
      <c r="J90" s="194" t="str">
        <f ca="1">IF(ISNUMBER(Table4[[#This Row],[TERmix]]),"Input provided","No input")</f>
        <v>No input</v>
      </c>
      <c r="K90" s="33"/>
      <c r="L90" s="37"/>
      <c r="P90" s="33"/>
    </row>
    <row r="91" spans="1:16" s="36" customFormat="1" ht="14.45" customHeight="1">
      <c r="A91" s="21"/>
      <c r="B91" s="195"/>
      <c r="C91" s="48" t="s">
        <v>135</v>
      </c>
      <c r="D91" s="48" t="s">
        <v>111</v>
      </c>
      <c r="E91" s="48" t="s">
        <v>105</v>
      </c>
      <c r="F91" s="50" t="s">
        <v>106</v>
      </c>
      <c r="G91" s="49">
        <v>25.2</v>
      </c>
      <c r="H91" s="393" t="str">
        <f>IF(AND(ISNUMBER(HLOOKUP(Table4[[#This Row],[Crop]],Input_Scenario,10,FALSE)),ISNUMBER(HLOOKUP(Table4[[#This Row],[Crop]],Input_Scenario,5,FALSE))),Table4[[#This Row],[SV90]]*HLOOKUP(Table4[[#This Row],[Crop]],Input_Scenario,10,FALSE)*HLOOKUP(Table4[[#This Row],[Crop]],Input_Scenario,5,FALSE),"")</f>
        <v/>
      </c>
      <c r="I91" s="394" t="str">
        <f ca="1">IF(AND(ISNUMBER($D$12),ISNUMBER(Table4[[#This Row],[DDD90 (mg/kg bw/d)]])),$D$48/Table4[[#This Row],[DDD90 (mg/kg bw/d)]],"")</f>
        <v/>
      </c>
      <c r="J91" s="194" t="str">
        <f ca="1">IF(ISNUMBER(Table4[[#This Row],[TERmix]]),"Input provided","No input")</f>
        <v>No input</v>
      </c>
      <c r="K91" s="33"/>
      <c r="L91" s="37"/>
      <c r="P91" s="33"/>
    </row>
    <row r="92" spans="1:16" s="36" customFormat="1" ht="14.45" customHeight="1">
      <c r="A92" s="21"/>
      <c r="B92" s="195"/>
      <c r="C92" s="48" t="s">
        <v>139</v>
      </c>
      <c r="D92" s="48" t="s">
        <v>140</v>
      </c>
      <c r="E92" s="48" t="s">
        <v>101</v>
      </c>
      <c r="F92" s="50" t="s">
        <v>133</v>
      </c>
      <c r="G92" s="49">
        <v>20.399999999999999</v>
      </c>
      <c r="H92" s="393" t="str">
        <f>IF(AND(ISNUMBER(HLOOKUP(Table4[[#This Row],[Crop]],Input_Scenario,10,FALSE)),ISNUMBER(HLOOKUP(Table4[[#This Row],[Crop]],Input_Scenario,5,FALSE))),Table4[[#This Row],[SV90]]*HLOOKUP(Table4[[#This Row],[Crop]],Input_Scenario,10,FALSE)*HLOOKUP(Table4[[#This Row],[Crop]],Input_Scenario,5,FALSE),"")</f>
        <v/>
      </c>
      <c r="I92" s="394" t="str">
        <f ca="1">IF(AND(ISNUMBER($D$12),ISNUMBER(Table4[[#This Row],[DDD90 (mg/kg bw/d)]])),$D$48/Table4[[#This Row],[DDD90 (mg/kg bw/d)]],"")</f>
        <v/>
      </c>
      <c r="J92" s="194" t="str">
        <f ca="1">IF(ISNUMBER(Table4[[#This Row],[TERmix]]),"Input provided","No input")</f>
        <v>No input</v>
      </c>
      <c r="K92" s="33"/>
      <c r="L92" s="37"/>
      <c r="P92" s="33"/>
    </row>
    <row r="93" spans="1:16" s="36" customFormat="1" ht="14.45" customHeight="1">
      <c r="A93" s="21"/>
      <c r="B93" s="195"/>
      <c r="C93" s="48" t="s">
        <v>139</v>
      </c>
      <c r="D93" s="48" t="s">
        <v>141</v>
      </c>
      <c r="E93" s="48" t="s">
        <v>121</v>
      </c>
      <c r="F93" s="50" t="s">
        <v>122</v>
      </c>
      <c r="G93" s="49">
        <v>30.5</v>
      </c>
      <c r="H93" s="393" t="str">
        <f>IF(AND(ISNUMBER(HLOOKUP(Table4[[#This Row],[Crop]],Input_Scenario,10,FALSE)),ISNUMBER(HLOOKUP(Table4[[#This Row],[Crop]],Input_Scenario,5,FALSE))),Table4[[#This Row],[SV90]]*HLOOKUP(Table4[[#This Row],[Crop]],Input_Scenario,10,FALSE)*HLOOKUP(Table4[[#This Row],[Crop]],Input_Scenario,5,FALSE),"")</f>
        <v/>
      </c>
      <c r="I93" s="394" t="str">
        <f ca="1">IF(AND(ISNUMBER($D$12),ISNUMBER(Table4[[#This Row],[DDD90 (mg/kg bw/d)]])),$D$48/Table4[[#This Row],[DDD90 (mg/kg bw/d)]],"")</f>
        <v/>
      </c>
      <c r="J93" s="194" t="str">
        <f ca="1">IF(ISNUMBER(Table4[[#This Row],[TERmix]]),"Input provided","No input")</f>
        <v>No input</v>
      </c>
      <c r="K93" s="33"/>
      <c r="L93" s="37"/>
      <c r="P93" s="33"/>
    </row>
    <row r="94" spans="1:16" s="36" customFormat="1" ht="14.45" customHeight="1">
      <c r="A94" s="21"/>
      <c r="B94" s="195"/>
      <c r="C94" s="48" t="s">
        <v>139</v>
      </c>
      <c r="D94" s="48" t="s">
        <v>142</v>
      </c>
      <c r="E94" s="48" t="s">
        <v>101</v>
      </c>
      <c r="F94" s="50" t="s">
        <v>102</v>
      </c>
      <c r="G94" s="49">
        <v>24.7</v>
      </c>
      <c r="H94" s="393" t="str">
        <f>IF(AND(ISNUMBER(HLOOKUP(Table4[[#This Row],[Crop]],Input_Scenario,10,FALSE)),ISNUMBER(HLOOKUP(Table4[[#This Row],[Crop]],Input_Scenario,5,FALSE))),Table4[[#This Row],[SV90]]*HLOOKUP(Table4[[#This Row],[Crop]],Input_Scenario,10,FALSE)*HLOOKUP(Table4[[#This Row],[Crop]],Input_Scenario,5,FALSE),"")</f>
        <v/>
      </c>
      <c r="I94" s="394" t="str">
        <f ca="1">IF(AND(ISNUMBER($D$12),ISNUMBER(Table4[[#This Row],[DDD90 (mg/kg bw/d)]])),$D$48/Table4[[#This Row],[DDD90 (mg/kg bw/d)]],"")</f>
        <v/>
      </c>
      <c r="J94" s="194" t="str">
        <f ca="1">IF(ISNUMBER(Table4[[#This Row],[TERmix]]),"Input provided","No input")</f>
        <v>No input</v>
      </c>
      <c r="K94" s="33"/>
      <c r="L94" s="37"/>
      <c r="P94" s="33"/>
    </row>
    <row r="95" spans="1:16" s="36" customFormat="1" ht="14.45" customHeight="1">
      <c r="A95" s="21"/>
      <c r="B95" s="195"/>
      <c r="C95" s="48" t="s">
        <v>139</v>
      </c>
      <c r="D95" s="48" t="s">
        <v>141</v>
      </c>
      <c r="E95" s="48" t="s">
        <v>105</v>
      </c>
      <c r="F95" s="50" t="s">
        <v>106</v>
      </c>
      <c r="G95" s="49">
        <v>26.8</v>
      </c>
      <c r="H95" s="393" t="str">
        <f>IF(AND(ISNUMBER(HLOOKUP(Table4[[#This Row],[Crop]],Input_Scenario,10,FALSE)),ISNUMBER(HLOOKUP(Table4[[#This Row],[Crop]],Input_Scenario,5,FALSE))),Table4[[#This Row],[SV90]]*HLOOKUP(Table4[[#This Row],[Crop]],Input_Scenario,10,FALSE)*HLOOKUP(Table4[[#This Row],[Crop]],Input_Scenario,5,FALSE),"")</f>
        <v/>
      </c>
      <c r="I95" s="394" t="str">
        <f ca="1">IF(AND(ISNUMBER($D$12),ISNUMBER(Table4[[#This Row],[DDD90 (mg/kg bw/d)]])),$D$48/Table4[[#This Row],[DDD90 (mg/kg bw/d)]],"")</f>
        <v/>
      </c>
      <c r="J95" s="194" t="str">
        <f ca="1">IF(ISNUMBER(Table4[[#This Row],[TERmix]]),"Input provided","No input")</f>
        <v>No input</v>
      </c>
      <c r="K95" s="33"/>
      <c r="L95" s="37"/>
      <c r="P95" s="33"/>
    </row>
    <row r="96" spans="1:16" s="36" customFormat="1" ht="14.45" customHeight="1">
      <c r="A96" s="21"/>
      <c r="B96" s="195"/>
      <c r="C96" s="48" t="s">
        <v>143</v>
      </c>
      <c r="D96" s="48" t="s">
        <v>108</v>
      </c>
      <c r="E96" s="48" t="s">
        <v>105</v>
      </c>
      <c r="F96" s="50" t="s">
        <v>144</v>
      </c>
      <c r="G96" s="49">
        <v>23.8</v>
      </c>
      <c r="H96" s="393" t="str">
        <f>IF(AND(ISNUMBER(HLOOKUP(Table4[[#This Row],[Crop]],Input_Scenario,10,FALSE)),ISNUMBER(HLOOKUP(Table4[[#This Row],[Crop]],Input_Scenario,5,FALSE))),Table4[[#This Row],[SV90]]*HLOOKUP(Table4[[#This Row],[Crop]],Input_Scenario,10,FALSE)*HLOOKUP(Table4[[#This Row],[Crop]],Input_Scenario,5,FALSE),"")</f>
        <v/>
      </c>
      <c r="I96" s="394" t="str">
        <f ca="1">IF(AND(ISNUMBER($D$12),ISNUMBER(Table4[[#This Row],[DDD90 (mg/kg bw/d)]])),$D$48/Table4[[#This Row],[DDD90 (mg/kg bw/d)]],"")</f>
        <v/>
      </c>
      <c r="J96" s="194" t="str">
        <f ca="1">IF(ISNUMBER(Table4[[#This Row],[TERmix]]),"Input provided","No input")</f>
        <v>No input</v>
      </c>
      <c r="K96" s="33"/>
      <c r="L96" s="37"/>
      <c r="P96" s="33"/>
    </row>
    <row r="97" spans="1:16" s="36" customFormat="1" ht="14.45" customHeight="1">
      <c r="A97" s="21"/>
      <c r="B97" s="195"/>
      <c r="C97" s="48" t="s">
        <v>143</v>
      </c>
      <c r="D97" s="48" t="s">
        <v>111</v>
      </c>
      <c r="E97" s="48" t="s">
        <v>105</v>
      </c>
      <c r="F97" s="50" t="s">
        <v>144</v>
      </c>
      <c r="G97" s="49">
        <v>25.3</v>
      </c>
      <c r="H97" s="393" t="str">
        <f>IF(AND(ISNUMBER(HLOOKUP(Table4[[#This Row],[Crop]],Input_Scenario,10,FALSE)),ISNUMBER(HLOOKUP(Table4[[#This Row],[Crop]],Input_Scenario,5,FALSE))),Table4[[#This Row],[SV90]]*HLOOKUP(Table4[[#This Row],[Crop]],Input_Scenario,10,FALSE)*HLOOKUP(Table4[[#This Row],[Crop]],Input_Scenario,5,FALSE),"")</f>
        <v/>
      </c>
      <c r="I97" s="394" t="str">
        <f ca="1">IF(AND(ISNUMBER($D$12),ISNUMBER(Table4[[#This Row],[DDD90 (mg/kg bw/d)]])),$D$48/Table4[[#This Row],[DDD90 (mg/kg bw/d)]],"")</f>
        <v/>
      </c>
      <c r="J97" s="194" t="str">
        <f ca="1">IF(ISNUMBER(Table4[[#This Row],[TERmix]]),"Input provided","No input")</f>
        <v>No input</v>
      </c>
      <c r="K97" s="33"/>
      <c r="L97" s="37"/>
      <c r="P97" s="33"/>
    </row>
    <row r="98" spans="1:16" s="36" customFormat="1" ht="14.45" customHeight="1">
      <c r="A98" s="21"/>
      <c r="B98" s="195"/>
      <c r="C98" s="48" t="s">
        <v>143</v>
      </c>
      <c r="D98" s="48" t="s">
        <v>108</v>
      </c>
      <c r="E98" s="48" t="s">
        <v>101</v>
      </c>
      <c r="F98" s="50" t="s">
        <v>145</v>
      </c>
      <c r="G98" s="49">
        <v>24.6</v>
      </c>
      <c r="H98" s="393" t="str">
        <f>IF(AND(ISNUMBER(HLOOKUP(Table4[[#This Row],[Crop]],Input_Scenario,10,FALSE)),ISNUMBER(HLOOKUP(Table4[[#This Row],[Crop]],Input_Scenario,5,FALSE))),Table4[[#This Row],[SV90]]*HLOOKUP(Table4[[#This Row],[Crop]],Input_Scenario,10,FALSE)*HLOOKUP(Table4[[#This Row],[Crop]],Input_Scenario,5,FALSE),"")</f>
        <v/>
      </c>
      <c r="I98" s="394" t="str">
        <f ca="1">IF(AND(ISNUMBER($D$12),ISNUMBER(Table4[[#This Row],[DDD90 (mg/kg bw/d)]])),$D$48/Table4[[#This Row],[DDD90 (mg/kg bw/d)]],"")</f>
        <v/>
      </c>
      <c r="J98" s="194" t="str">
        <f ca="1">IF(ISNUMBER(Table4[[#This Row],[TERmix]]),"Input provided","No input")</f>
        <v>No input</v>
      </c>
      <c r="K98" s="33"/>
      <c r="L98" s="37"/>
      <c r="P98" s="33"/>
    </row>
    <row r="99" spans="1:16" s="36" customFormat="1" ht="14.45" customHeight="1">
      <c r="A99" s="21"/>
      <c r="B99" s="195"/>
      <c r="C99" s="48" t="s">
        <v>143</v>
      </c>
      <c r="D99" s="48" t="s">
        <v>146</v>
      </c>
      <c r="E99" s="48" t="s">
        <v>101</v>
      </c>
      <c r="F99" s="50" t="s">
        <v>145</v>
      </c>
      <c r="G99" s="49">
        <v>12.3</v>
      </c>
      <c r="H99" s="393" t="str">
        <f>IF(AND(ISNUMBER(HLOOKUP(Table4[[#This Row],[Crop]],Input_Scenario,10,FALSE)),ISNUMBER(HLOOKUP(Table4[[#This Row],[Crop]],Input_Scenario,5,FALSE))),Table4[[#This Row],[SV90]]*HLOOKUP(Table4[[#This Row],[Crop]],Input_Scenario,10,FALSE)*HLOOKUP(Table4[[#This Row],[Crop]],Input_Scenario,5,FALSE),"")</f>
        <v/>
      </c>
      <c r="I99" s="394" t="str">
        <f ca="1">IF(AND(ISNUMBER($D$12),ISNUMBER(Table4[[#This Row],[DDD90 (mg/kg bw/d)]])),$D$48/Table4[[#This Row],[DDD90 (mg/kg bw/d)]],"")</f>
        <v/>
      </c>
      <c r="J99" s="194" t="str">
        <f ca="1">IF(ISNUMBER(Table4[[#This Row],[TERmix]]),"Input provided","No input")</f>
        <v>No input</v>
      </c>
      <c r="K99" s="33"/>
      <c r="L99" s="37"/>
      <c r="P99" s="33"/>
    </row>
    <row r="100" spans="1:16" s="36" customFormat="1" ht="14.45" customHeight="1">
      <c r="A100" s="21"/>
      <c r="B100" s="195"/>
      <c r="C100" s="48" t="s">
        <v>143</v>
      </c>
      <c r="D100" s="48" t="s">
        <v>109</v>
      </c>
      <c r="E100" s="48" t="s">
        <v>101</v>
      </c>
      <c r="F100" s="50" t="s">
        <v>145</v>
      </c>
      <c r="G100" s="49">
        <v>7.4</v>
      </c>
      <c r="H100" s="393" t="str">
        <f>IF(AND(ISNUMBER(HLOOKUP(Table4[[#This Row],[Crop]],Input_Scenario,10,FALSE)),ISNUMBER(HLOOKUP(Table4[[#This Row],[Crop]],Input_Scenario,5,FALSE))),Table4[[#This Row],[SV90]]*HLOOKUP(Table4[[#This Row],[Crop]],Input_Scenario,10,FALSE)*HLOOKUP(Table4[[#This Row],[Crop]],Input_Scenario,5,FALSE),"")</f>
        <v/>
      </c>
      <c r="I100" s="394" t="str">
        <f ca="1">IF(AND(ISNUMBER($D$12),ISNUMBER(Table4[[#This Row],[DDD90 (mg/kg bw/d)]])),$D$48/Table4[[#This Row],[DDD90 (mg/kg bw/d)]],"")</f>
        <v/>
      </c>
      <c r="J100" s="194" t="str">
        <f ca="1">IF(ISNUMBER(Table4[[#This Row],[TERmix]]),"Input provided","No input")</f>
        <v>No input</v>
      </c>
      <c r="K100" s="33"/>
      <c r="L100" s="37"/>
      <c r="P100" s="33"/>
    </row>
    <row r="101" spans="1:16" s="36" customFormat="1" ht="14.45" customHeight="1">
      <c r="A101" s="21"/>
      <c r="B101" s="195"/>
      <c r="C101" s="48" t="s">
        <v>147</v>
      </c>
      <c r="D101" s="48" t="s">
        <v>132</v>
      </c>
      <c r="E101" s="48" t="s">
        <v>101</v>
      </c>
      <c r="F101" s="50" t="s">
        <v>148</v>
      </c>
      <c r="G101" s="49">
        <v>27.4</v>
      </c>
      <c r="H101" s="393" t="str">
        <f>IF(AND(ISNUMBER(HLOOKUP(Table4[[#This Row],[Crop]],Input_Scenario,10,FALSE)),ISNUMBER(HLOOKUP(Table4[[#This Row],[Crop]],Input_Scenario,5,FALSE))),Table4[[#This Row],[SV90]]*HLOOKUP(Table4[[#This Row],[Crop]],Input_Scenario,10,FALSE)*HLOOKUP(Table4[[#This Row],[Crop]],Input_Scenario,5,FALSE),"")</f>
        <v/>
      </c>
      <c r="I101" s="394" t="str">
        <f ca="1">IF(AND(ISNUMBER($D$12),ISNUMBER(Table4[[#This Row],[DDD90 (mg/kg bw/d)]])),$D$48/Table4[[#This Row],[DDD90 (mg/kg bw/d)]],"")</f>
        <v/>
      </c>
      <c r="J101" s="194" t="str">
        <f ca="1">IF(ISNUMBER(Table4[[#This Row],[TERmix]]),"Input provided","No input")</f>
        <v>No input</v>
      </c>
      <c r="K101" s="33"/>
      <c r="L101" s="37"/>
      <c r="P101" s="33"/>
    </row>
    <row r="102" spans="1:16" s="36" customFormat="1" ht="14.45" customHeight="1">
      <c r="A102" s="21"/>
      <c r="B102" s="195"/>
      <c r="C102" s="48" t="s">
        <v>147</v>
      </c>
      <c r="D102" s="48" t="s">
        <v>134</v>
      </c>
      <c r="E102" s="48" t="s">
        <v>101</v>
      </c>
      <c r="F102" s="50" t="s">
        <v>148</v>
      </c>
      <c r="G102" s="49">
        <v>8.1999999999999993</v>
      </c>
      <c r="H102" s="393" t="str">
        <f>IF(AND(ISNUMBER(HLOOKUP(Table4[[#This Row],[Crop]],Input_Scenario,10,FALSE)),ISNUMBER(HLOOKUP(Table4[[#This Row],[Crop]],Input_Scenario,5,FALSE))),Table4[[#This Row],[SV90]]*HLOOKUP(Table4[[#This Row],[Crop]],Input_Scenario,10,FALSE)*HLOOKUP(Table4[[#This Row],[Crop]],Input_Scenario,5,FALSE),"")</f>
        <v/>
      </c>
      <c r="I102" s="394" t="str">
        <f ca="1">IF(AND(ISNUMBER($D$12),ISNUMBER(Table4[[#This Row],[DDD90 (mg/kg bw/d)]])),$D$48/Table4[[#This Row],[DDD90 (mg/kg bw/d)]],"")</f>
        <v/>
      </c>
      <c r="J102" s="194" t="str">
        <f ca="1">IF(ISNUMBER(Table4[[#This Row],[TERmix]]),"Input provided","No input")</f>
        <v>No input</v>
      </c>
      <c r="K102" s="33"/>
      <c r="L102" s="37"/>
      <c r="P102" s="33"/>
    </row>
    <row r="103" spans="1:16" s="36" customFormat="1" ht="14.45" customHeight="1">
      <c r="A103" s="21"/>
      <c r="B103" s="195"/>
      <c r="C103" s="48" t="s">
        <v>147</v>
      </c>
      <c r="D103" s="48" t="s">
        <v>132</v>
      </c>
      <c r="E103" s="48" t="s">
        <v>103</v>
      </c>
      <c r="F103" s="50" t="s">
        <v>104</v>
      </c>
      <c r="G103" s="49">
        <v>24</v>
      </c>
      <c r="H103" s="393" t="str">
        <f>IF(AND(ISNUMBER(HLOOKUP(Table4[[#This Row],[Crop]],Input_Scenario,10,FALSE)),ISNUMBER(HLOOKUP(Table4[[#This Row],[Crop]],Input_Scenario,5,FALSE))),Table4[[#This Row],[SV90]]*HLOOKUP(Table4[[#This Row],[Crop]],Input_Scenario,10,FALSE)*HLOOKUP(Table4[[#This Row],[Crop]],Input_Scenario,5,FALSE),"")</f>
        <v/>
      </c>
      <c r="I103" s="394" t="str">
        <f ca="1">IF(AND(ISNUMBER($D$12),ISNUMBER(Table4[[#This Row],[DDD90 (mg/kg bw/d)]])),$D$48/Table4[[#This Row],[DDD90 (mg/kg bw/d)]],"")</f>
        <v/>
      </c>
      <c r="J103" s="194" t="str">
        <f ca="1">IF(ISNUMBER(Table4[[#This Row],[TERmix]]),"Input provided","No input")</f>
        <v>No input</v>
      </c>
      <c r="K103" s="33"/>
      <c r="L103" s="37"/>
      <c r="P103" s="33"/>
    </row>
    <row r="104" spans="1:16" s="36" customFormat="1" ht="14.45" customHeight="1">
      <c r="A104" s="21"/>
      <c r="B104" s="195"/>
      <c r="C104" s="48" t="s">
        <v>147</v>
      </c>
      <c r="D104" s="48" t="s">
        <v>111</v>
      </c>
      <c r="E104" s="48" t="s">
        <v>105</v>
      </c>
      <c r="F104" s="50" t="s">
        <v>106</v>
      </c>
      <c r="G104" s="49">
        <v>25.2</v>
      </c>
      <c r="H104" s="393" t="str">
        <f>IF(AND(ISNUMBER(HLOOKUP(Table4[[#This Row],[Crop]],Input_Scenario,10,FALSE)),ISNUMBER(HLOOKUP(Table4[[#This Row],[Crop]],Input_Scenario,5,FALSE))),Table4[[#This Row],[SV90]]*HLOOKUP(Table4[[#This Row],[Crop]],Input_Scenario,10,FALSE)*HLOOKUP(Table4[[#This Row],[Crop]],Input_Scenario,5,FALSE),"")</f>
        <v/>
      </c>
      <c r="I104" s="394" t="str">
        <f ca="1">IF(AND(ISNUMBER($D$12),ISNUMBER(Table4[[#This Row],[DDD90 (mg/kg bw/d)]])),$D$48/Table4[[#This Row],[DDD90 (mg/kg bw/d)]],"")</f>
        <v/>
      </c>
      <c r="J104" s="194" t="str">
        <f ca="1">IF(ISNUMBER(Table4[[#This Row],[TERmix]]),"Input provided","No input")</f>
        <v>No input</v>
      </c>
      <c r="K104" s="33"/>
      <c r="L104" s="37"/>
      <c r="P104" s="33"/>
    </row>
    <row r="105" spans="1:16" s="36" customFormat="1" ht="14.45" customHeight="1">
      <c r="A105" s="21"/>
      <c r="B105" s="195"/>
      <c r="C105" s="48" t="s">
        <v>147</v>
      </c>
      <c r="D105" s="48" t="s">
        <v>149</v>
      </c>
      <c r="E105" s="48" t="s">
        <v>150</v>
      </c>
      <c r="F105" s="50" t="s">
        <v>151</v>
      </c>
      <c r="G105" s="49">
        <v>90.6</v>
      </c>
      <c r="H105" s="393" t="str">
        <f>IF(AND(ISNUMBER(HLOOKUP(Table4[[#This Row],[Crop]],Input_Scenario,10,FALSE)),ISNUMBER(HLOOKUP(Table4[[#This Row],[Crop]],Input_Scenario,5,FALSE))),Table4[[#This Row],[SV90]]*HLOOKUP(Table4[[#This Row],[Crop]],Input_Scenario,10,FALSE)*HLOOKUP(Table4[[#This Row],[Crop]],Input_Scenario,5,FALSE),"")</f>
        <v/>
      </c>
      <c r="I105" s="394" t="str">
        <f ca="1">IF(AND(ISNUMBER($D$12),ISNUMBER(Table4[[#This Row],[DDD90 (mg/kg bw/d)]])),$D$48/Table4[[#This Row],[DDD90 (mg/kg bw/d)]],"")</f>
        <v/>
      </c>
      <c r="J105" s="194" t="str">
        <f ca="1">IF(ISNUMBER(Table4[[#This Row],[TERmix]]),"Input provided","No input")</f>
        <v>No input</v>
      </c>
      <c r="K105" s="33"/>
      <c r="L105" s="37"/>
      <c r="P105" s="33"/>
    </row>
    <row r="106" spans="1:16" s="36" customFormat="1" ht="14.45" customHeight="1">
      <c r="A106" s="21"/>
      <c r="B106" s="195"/>
      <c r="C106" s="48" t="s">
        <v>147</v>
      </c>
      <c r="D106" s="48" t="s">
        <v>108</v>
      </c>
      <c r="E106" s="48" t="s">
        <v>105</v>
      </c>
      <c r="F106" s="50" t="s">
        <v>106</v>
      </c>
      <c r="G106" s="49">
        <v>26.8</v>
      </c>
      <c r="H106" s="393" t="str">
        <f>IF(AND(ISNUMBER(HLOOKUP(Table4[[#This Row],[Crop]],Input_Scenario,10,FALSE)),ISNUMBER(HLOOKUP(Table4[[#This Row],[Crop]],Input_Scenario,5,FALSE))),Table4[[#This Row],[SV90]]*HLOOKUP(Table4[[#This Row],[Crop]],Input_Scenario,10,FALSE)*HLOOKUP(Table4[[#This Row],[Crop]],Input_Scenario,5,FALSE),"")</f>
        <v/>
      </c>
      <c r="I106" s="394" t="str">
        <f ca="1">IF(AND(ISNUMBER($D$12),ISNUMBER(Table4[[#This Row],[DDD90 (mg/kg bw/d)]])),$D$48/Table4[[#This Row],[DDD90 (mg/kg bw/d)]],"")</f>
        <v/>
      </c>
      <c r="J106" s="194" t="str">
        <f ca="1">IF(ISNUMBER(Table4[[#This Row],[TERmix]]),"Input provided","No input")</f>
        <v>No input</v>
      </c>
      <c r="K106" s="33"/>
      <c r="L106" s="37"/>
      <c r="P106" s="33"/>
    </row>
    <row r="107" spans="1:16" s="36" customFormat="1" ht="14.45" customHeight="1">
      <c r="A107" s="21"/>
      <c r="B107" s="195"/>
      <c r="C107" s="48" t="s">
        <v>147</v>
      </c>
      <c r="D107" s="48" t="s">
        <v>134</v>
      </c>
      <c r="E107" s="48" t="s">
        <v>103</v>
      </c>
      <c r="F107" s="50" t="s">
        <v>104</v>
      </c>
      <c r="G107" s="49">
        <v>7.2</v>
      </c>
      <c r="H107" s="393" t="str">
        <f>IF(AND(ISNUMBER(HLOOKUP(Table4[[#This Row],[Crop]],Input_Scenario,10,FALSE)),ISNUMBER(HLOOKUP(Table4[[#This Row],[Crop]],Input_Scenario,5,FALSE))),Table4[[#This Row],[SV90]]*HLOOKUP(Table4[[#This Row],[Crop]],Input_Scenario,10,FALSE)*HLOOKUP(Table4[[#This Row],[Crop]],Input_Scenario,5,FALSE),"")</f>
        <v/>
      </c>
      <c r="I107" s="394" t="str">
        <f ca="1">IF(AND(ISNUMBER($D$12),ISNUMBER(Table4[[#This Row],[DDD90 (mg/kg bw/d)]])),$D$48/Table4[[#This Row],[DDD90 (mg/kg bw/d)]],"")</f>
        <v/>
      </c>
      <c r="J107" s="194" t="str">
        <f ca="1">IF(ISNUMBER(Table4[[#This Row],[TERmix]]),"Input provided","No input")</f>
        <v>No input</v>
      </c>
      <c r="K107" s="33"/>
      <c r="L107" s="37"/>
      <c r="P107" s="33"/>
    </row>
    <row r="108" spans="1:16" s="36" customFormat="1" ht="14.45" customHeight="1">
      <c r="A108" s="21"/>
      <c r="B108" s="195"/>
      <c r="C108" s="48" t="s">
        <v>152</v>
      </c>
      <c r="D108" s="48" t="s">
        <v>132</v>
      </c>
      <c r="E108" s="48" t="s">
        <v>101</v>
      </c>
      <c r="F108" s="50" t="s">
        <v>102</v>
      </c>
      <c r="G108" s="49">
        <v>24.7</v>
      </c>
      <c r="H108" s="393" t="str">
        <f>IF(AND(ISNUMBER(HLOOKUP(Table4[[#This Row],[Crop]],Input_Scenario,10,FALSE)),ISNUMBER(HLOOKUP(Table4[[#This Row],[Crop]],Input_Scenario,5,FALSE))),Table4[[#This Row],[SV90]]*HLOOKUP(Table4[[#This Row],[Crop]],Input_Scenario,10,FALSE)*HLOOKUP(Table4[[#This Row],[Crop]],Input_Scenario,5,FALSE),"")</f>
        <v/>
      </c>
      <c r="I108" s="394" t="str">
        <f ca="1">IF(AND(ISNUMBER($D$12),ISNUMBER(Table4[[#This Row],[DDD90 (mg/kg bw/d)]])),$D$48/Table4[[#This Row],[DDD90 (mg/kg bw/d)]],"")</f>
        <v/>
      </c>
      <c r="J108" s="194" t="str">
        <f ca="1">IF(ISNUMBER(Table4[[#This Row],[TERmix]]),"Input provided","No input")</f>
        <v>No input</v>
      </c>
      <c r="K108" s="33"/>
      <c r="L108" s="37"/>
      <c r="P108" s="33"/>
    </row>
    <row r="109" spans="1:16" s="36" customFormat="1" ht="14.45" customHeight="1">
      <c r="A109" s="21"/>
      <c r="B109" s="195"/>
      <c r="C109" s="48" t="s">
        <v>152</v>
      </c>
      <c r="D109" s="48" t="s">
        <v>108</v>
      </c>
      <c r="E109" s="48" t="s">
        <v>105</v>
      </c>
      <c r="F109" s="50" t="s">
        <v>106</v>
      </c>
      <c r="G109" s="49">
        <v>26.8</v>
      </c>
      <c r="H109" s="393" t="str">
        <f>IF(AND(ISNUMBER(HLOOKUP(Table4[[#This Row],[Crop]],Input_Scenario,10,FALSE)),ISNUMBER(HLOOKUP(Table4[[#This Row],[Crop]],Input_Scenario,5,FALSE))),Table4[[#This Row],[SV90]]*HLOOKUP(Table4[[#This Row],[Crop]],Input_Scenario,10,FALSE)*HLOOKUP(Table4[[#This Row],[Crop]],Input_Scenario,5,FALSE),"")</f>
        <v/>
      </c>
      <c r="I109" s="394" t="str">
        <f ca="1">IF(AND(ISNUMBER($D$12),ISNUMBER(Table4[[#This Row],[DDD90 (mg/kg bw/d)]])),$D$48/Table4[[#This Row],[DDD90 (mg/kg bw/d)]],"")</f>
        <v/>
      </c>
      <c r="J109" s="194" t="str">
        <f ca="1">IF(ISNUMBER(Table4[[#This Row],[TERmix]]),"Input provided","No input")</f>
        <v>No input</v>
      </c>
      <c r="K109" s="33"/>
      <c r="L109" s="37"/>
      <c r="P109" s="33"/>
    </row>
    <row r="110" spans="1:16" s="36" customFormat="1" ht="14.45" customHeight="1">
      <c r="A110" s="21"/>
      <c r="B110" s="195"/>
      <c r="C110" s="48" t="s">
        <v>152</v>
      </c>
      <c r="D110" s="48" t="s">
        <v>132</v>
      </c>
      <c r="E110" s="48" t="s">
        <v>103</v>
      </c>
      <c r="F110" s="50" t="s">
        <v>104</v>
      </c>
      <c r="G110" s="49">
        <v>24</v>
      </c>
      <c r="H110" s="393" t="str">
        <f>IF(AND(ISNUMBER(HLOOKUP(Table4[[#This Row],[Crop]],Input_Scenario,10,FALSE)),ISNUMBER(HLOOKUP(Table4[[#This Row],[Crop]],Input_Scenario,5,FALSE))),Table4[[#This Row],[SV90]]*HLOOKUP(Table4[[#This Row],[Crop]],Input_Scenario,10,FALSE)*HLOOKUP(Table4[[#This Row],[Crop]],Input_Scenario,5,FALSE),"")</f>
        <v/>
      </c>
      <c r="I110" s="394" t="str">
        <f ca="1">IF(AND(ISNUMBER($D$12),ISNUMBER(Table4[[#This Row],[DDD90 (mg/kg bw/d)]])),$D$48/Table4[[#This Row],[DDD90 (mg/kg bw/d)]],"")</f>
        <v/>
      </c>
      <c r="J110" s="194" t="str">
        <f ca="1">IF(ISNUMBER(Table4[[#This Row],[TERmix]]),"Input provided","No input")</f>
        <v>No input</v>
      </c>
      <c r="K110" s="33"/>
      <c r="L110" s="37"/>
      <c r="P110" s="33"/>
    </row>
    <row r="111" spans="1:16" s="36" customFormat="1" ht="14.45" customHeight="1">
      <c r="A111" s="21"/>
      <c r="B111" s="195"/>
      <c r="C111" s="48" t="s">
        <v>152</v>
      </c>
      <c r="D111" s="48" t="s">
        <v>134</v>
      </c>
      <c r="E111" s="48" t="s">
        <v>101</v>
      </c>
      <c r="F111" s="50" t="s">
        <v>102</v>
      </c>
      <c r="G111" s="49">
        <v>7.4</v>
      </c>
      <c r="H111" s="393" t="str">
        <f>IF(AND(ISNUMBER(HLOOKUP(Table4[[#This Row],[Crop]],Input_Scenario,10,FALSE)),ISNUMBER(HLOOKUP(Table4[[#This Row],[Crop]],Input_Scenario,5,FALSE))),Table4[[#This Row],[SV90]]*HLOOKUP(Table4[[#This Row],[Crop]],Input_Scenario,10,FALSE)*HLOOKUP(Table4[[#This Row],[Crop]],Input_Scenario,5,FALSE),"")</f>
        <v/>
      </c>
      <c r="I111" s="394" t="str">
        <f ca="1">IF(AND(ISNUMBER($D$12),ISNUMBER(Table4[[#This Row],[DDD90 (mg/kg bw/d)]])),$D$48/Table4[[#This Row],[DDD90 (mg/kg bw/d)]],"")</f>
        <v/>
      </c>
      <c r="J111" s="194" t="str">
        <f ca="1">IF(ISNUMBER(Table4[[#This Row],[TERmix]]),"Input provided","No input")</f>
        <v>No input</v>
      </c>
      <c r="K111" s="33"/>
      <c r="L111" s="37"/>
      <c r="P111" s="33"/>
    </row>
    <row r="112" spans="1:16" s="36" customFormat="1" ht="14.45" customHeight="1">
      <c r="A112" s="21"/>
      <c r="B112" s="195"/>
      <c r="C112" s="48" t="s">
        <v>152</v>
      </c>
      <c r="D112" s="48" t="s">
        <v>153</v>
      </c>
      <c r="E112" s="48" t="s">
        <v>150</v>
      </c>
      <c r="F112" s="50" t="s">
        <v>151</v>
      </c>
      <c r="G112" s="49">
        <v>55.6</v>
      </c>
      <c r="H112" s="393" t="str">
        <f>IF(AND(ISNUMBER(HLOOKUP(Table4[[#This Row],[Crop]],Input_Scenario,10,FALSE)),ISNUMBER(HLOOKUP(Table4[[#This Row],[Crop]],Input_Scenario,5,FALSE))),Table4[[#This Row],[SV90]]*HLOOKUP(Table4[[#This Row],[Crop]],Input_Scenario,10,FALSE)*HLOOKUP(Table4[[#This Row],[Crop]],Input_Scenario,5,FALSE),"")</f>
        <v/>
      </c>
      <c r="I112" s="394" t="str">
        <f ca="1">IF(AND(ISNUMBER($D$12),ISNUMBER(Table4[[#This Row],[DDD90 (mg/kg bw/d)]])),$D$48/Table4[[#This Row],[DDD90 (mg/kg bw/d)]],"")</f>
        <v/>
      </c>
      <c r="J112" s="194" t="str">
        <f ca="1">IF(ISNUMBER(Table4[[#This Row],[TERmix]]),"Input provided","No input")</f>
        <v>No input</v>
      </c>
      <c r="K112" s="33"/>
      <c r="L112" s="37"/>
      <c r="P112" s="33"/>
    </row>
    <row r="113" spans="1:16" s="36" customFormat="1" ht="14.45" customHeight="1">
      <c r="A113" s="21"/>
      <c r="B113" s="195"/>
      <c r="C113" s="48" t="s">
        <v>152</v>
      </c>
      <c r="D113" s="48" t="s">
        <v>134</v>
      </c>
      <c r="E113" s="48" t="s">
        <v>103</v>
      </c>
      <c r="F113" s="50" t="s">
        <v>104</v>
      </c>
      <c r="G113" s="49">
        <v>7.2</v>
      </c>
      <c r="H113" s="393" t="str">
        <f>IF(AND(ISNUMBER(HLOOKUP(Table4[[#This Row],[Crop]],Input_Scenario,10,FALSE)),ISNUMBER(HLOOKUP(Table4[[#This Row],[Crop]],Input_Scenario,5,FALSE))),Table4[[#This Row],[SV90]]*HLOOKUP(Table4[[#This Row],[Crop]],Input_Scenario,10,FALSE)*HLOOKUP(Table4[[#This Row],[Crop]],Input_Scenario,5,FALSE),"")</f>
        <v/>
      </c>
      <c r="I113" s="394" t="str">
        <f ca="1">IF(AND(ISNUMBER($D$12),ISNUMBER(Table4[[#This Row],[DDD90 (mg/kg bw/d)]])),$D$48/Table4[[#This Row],[DDD90 (mg/kg bw/d)]],"")</f>
        <v/>
      </c>
      <c r="J113" s="194" t="str">
        <f ca="1">IF(ISNUMBER(Table4[[#This Row],[TERmix]]),"Input provided","No input")</f>
        <v>No input</v>
      </c>
      <c r="K113" s="33"/>
      <c r="L113" s="37"/>
      <c r="P113" s="33"/>
    </row>
    <row r="114" spans="1:16" s="36" customFormat="1" ht="14.45" customHeight="1">
      <c r="A114" s="21"/>
      <c r="B114" s="195"/>
      <c r="C114" s="48" t="s">
        <v>152</v>
      </c>
      <c r="D114" s="48" t="s">
        <v>111</v>
      </c>
      <c r="E114" s="48" t="s">
        <v>105</v>
      </c>
      <c r="F114" s="50" t="s">
        <v>106</v>
      </c>
      <c r="G114" s="49">
        <v>25.2</v>
      </c>
      <c r="H114" s="393" t="str">
        <f>IF(AND(ISNUMBER(HLOOKUP(Table4[[#This Row],[Crop]],Input_Scenario,10,FALSE)),ISNUMBER(HLOOKUP(Table4[[#This Row],[Crop]],Input_Scenario,5,FALSE))),Table4[[#This Row],[SV90]]*HLOOKUP(Table4[[#This Row],[Crop]],Input_Scenario,10,FALSE)*HLOOKUP(Table4[[#This Row],[Crop]],Input_Scenario,5,FALSE),"")</f>
        <v/>
      </c>
      <c r="I114" s="394" t="str">
        <f ca="1">IF(AND(ISNUMBER($D$12),ISNUMBER(Table4[[#This Row],[DDD90 (mg/kg bw/d)]])),$D$48/Table4[[#This Row],[DDD90 (mg/kg bw/d)]],"")</f>
        <v/>
      </c>
      <c r="J114" s="194" t="str">
        <f ca="1">IF(ISNUMBER(Table4[[#This Row],[TERmix]]),"Input provided","No input")</f>
        <v>No input</v>
      </c>
      <c r="K114" s="33"/>
      <c r="L114" s="37"/>
      <c r="P114" s="33"/>
    </row>
    <row r="115" spans="1:16" s="36" customFormat="1" ht="14.45" customHeight="1">
      <c r="A115" s="21"/>
      <c r="B115" s="195"/>
      <c r="C115" s="48" t="s">
        <v>154</v>
      </c>
      <c r="D115" s="48" t="s">
        <v>119</v>
      </c>
      <c r="E115" s="48" t="s">
        <v>155</v>
      </c>
      <c r="F115" s="50" t="s">
        <v>156</v>
      </c>
      <c r="G115" s="49">
        <v>6.6</v>
      </c>
      <c r="H115" s="393" t="str">
        <f>IF(AND(ISNUMBER(HLOOKUP(Table4[[#This Row],[Crop]],Input_Scenario,10,FALSE)),ISNUMBER(HLOOKUP(Table4[[#This Row],[Crop]],Input_Scenario,5,FALSE))),Table4[[#This Row],[SV90]]*HLOOKUP(Table4[[#This Row],[Crop]],Input_Scenario,10,FALSE)*HLOOKUP(Table4[[#This Row],[Crop]],Input_Scenario,5,FALSE),"")</f>
        <v/>
      </c>
      <c r="I115" s="394" t="str">
        <f ca="1">IF(AND(ISNUMBER($D$12),ISNUMBER(Table4[[#This Row],[DDD90 (mg/kg bw/d)]])),$D$48/Table4[[#This Row],[DDD90 (mg/kg bw/d)]],"")</f>
        <v/>
      </c>
      <c r="J115" s="194" t="str">
        <f ca="1">IF(ISNUMBER(Table4[[#This Row],[TERmix]]),"Input provided","No input")</f>
        <v>No input</v>
      </c>
      <c r="K115" s="33"/>
      <c r="L115" s="37"/>
      <c r="P115" s="33"/>
    </row>
    <row r="116" spans="1:16" s="36" customFormat="1" ht="14.45" customHeight="1">
      <c r="A116" s="21"/>
      <c r="B116" s="195"/>
      <c r="C116" s="48" t="s">
        <v>154</v>
      </c>
      <c r="D116" s="48" t="s">
        <v>108</v>
      </c>
      <c r="E116" s="48" t="s">
        <v>105</v>
      </c>
      <c r="F116" s="50" t="s">
        <v>106</v>
      </c>
      <c r="G116" s="49">
        <v>26.8</v>
      </c>
      <c r="H116" s="393" t="str">
        <f>IF(AND(ISNUMBER(HLOOKUP(Table4[[#This Row],[Crop]],Input_Scenario,10,FALSE)),ISNUMBER(HLOOKUP(Table4[[#This Row],[Crop]],Input_Scenario,5,FALSE))),Table4[[#This Row],[SV90]]*HLOOKUP(Table4[[#This Row],[Crop]],Input_Scenario,10,FALSE)*HLOOKUP(Table4[[#This Row],[Crop]],Input_Scenario,5,FALSE),"")</f>
        <v/>
      </c>
      <c r="I116" s="394" t="str">
        <f ca="1">IF(AND(ISNUMBER($D$12),ISNUMBER(Table4[[#This Row],[DDD90 (mg/kg bw/d)]])),$D$48/Table4[[#This Row],[DDD90 (mg/kg bw/d)]],"")</f>
        <v/>
      </c>
      <c r="J116" s="194" t="str">
        <f ca="1">IF(ISNUMBER(Table4[[#This Row],[TERmix]]),"Input provided","No input")</f>
        <v>No input</v>
      </c>
      <c r="K116" s="33"/>
      <c r="L116" s="37"/>
      <c r="P116" s="33"/>
    </row>
    <row r="117" spans="1:16" s="36" customFormat="1" ht="14.45" customHeight="1">
      <c r="A117" s="21"/>
      <c r="B117" s="195"/>
      <c r="C117" s="48" t="s">
        <v>154</v>
      </c>
      <c r="D117" s="48" t="s">
        <v>111</v>
      </c>
      <c r="E117" s="48" t="s">
        <v>155</v>
      </c>
      <c r="F117" s="50" t="s">
        <v>156</v>
      </c>
      <c r="G117" s="49">
        <v>1.6</v>
      </c>
      <c r="H117" s="393" t="str">
        <f>IF(AND(ISNUMBER(HLOOKUP(Table4[[#This Row],[Crop]],Input_Scenario,10,FALSE)),ISNUMBER(HLOOKUP(Table4[[#This Row],[Crop]],Input_Scenario,5,FALSE))),Table4[[#This Row],[SV90]]*HLOOKUP(Table4[[#This Row],[Crop]],Input_Scenario,10,FALSE)*HLOOKUP(Table4[[#This Row],[Crop]],Input_Scenario,5,FALSE),"")</f>
        <v/>
      </c>
      <c r="I117" s="394" t="str">
        <f ca="1">IF(AND(ISNUMBER($D$12),ISNUMBER(Table4[[#This Row],[DDD90 (mg/kg bw/d)]])),$D$48/Table4[[#This Row],[DDD90 (mg/kg bw/d)]],"")</f>
        <v/>
      </c>
      <c r="J117" s="194" t="str">
        <f ca="1">IF(ISNUMBER(Table4[[#This Row],[TERmix]]),"Input provided","No input")</f>
        <v>No input</v>
      </c>
      <c r="K117" s="33"/>
      <c r="L117" s="37"/>
      <c r="P117" s="33"/>
    </row>
    <row r="118" spans="1:16" s="36" customFormat="1" ht="14.45" customHeight="1">
      <c r="A118" s="21"/>
      <c r="B118" s="195"/>
      <c r="C118" s="48" t="s">
        <v>154</v>
      </c>
      <c r="D118" s="48" t="s">
        <v>149</v>
      </c>
      <c r="E118" s="48" t="s">
        <v>157</v>
      </c>
      <c r="F118" s="50" t="s">
        <v>158</v>
      </c>
      <c r="G118" s="49">
        <v>10.5</v>
      </c>
      <c r="H118" s="393" t="str">
        <f>IF(AND(ISNUMBER(HLOOKUP(Table4[[#This Row],[Crop]],Input_Scenario,10,FALSE)),ISNUMBER(HLOOKUP(Table4[[#This Row],[Crop]],Input_Scenario,5,FALSE))),Table4[[#This Row],[SV90]]*HLOOKUP(Table4[[#This Row],[Crop]],Input_Scenario,10,FALSE)*HLOOKUP(Table4[[#This Row],[Crop]],Input_Scenario,5,FALSE),"")</f>
        <v/>
      </c>
      <c r="I118" s="394" t="str">
        <f ca="1">IF(AND(ISNUMBER($D$12),ISNUMBER(Table4[[#This Row],[DDD90 (mg/kg bw/d)]])),$D$48/Table4[[#This Row],[DDD90 (mg/kg bw/d)]],"")</f>
        <v/>
      </c>
      <c r="J118" s="194" t="str">
        <f ca="1">IF(ISNUMBER(Table4[[#This Row],[TERmix]]),"Input provided","No input")</f>
        <v>No input</v>
      </c>
      <c r="K118" s="33"/>
      <c r="L118" s="37"/>
      <c r="P118" s="33"/>
    </row>
    <row r="119" spans="1:16" s="36" customFormat="1" ht="14.45" customHeight="1">
      <c r="A119" s="21"/>
      <c r="B119" s="195"/>
      <c r="C119" s="48" t="s">
        <v>154</v>
      </c>
      <c r="D119" s="48" t="s">
        <v>119</v>
      </c>
      <c r="E119" s="48" t="s">
        <v>103</v>
      </c>
      <c r="F119" s="50" t="s">
        <v>104</v>
      </c>
      <c r="G119" s="49">
        <v>24</v>
      </c>
      <c r="H119" s="393" t="str">
        <f>IF(AND(ISNUMBER(HLOOKUP(Table4[[#This Row],[Crop]],Input_Scenario,10,FALSE)),ISNUMBER(HLOOKUP(Table4[[#This Row],[Crop]],Input_Scenario,5,FALSE))),Table4[[#This Row],[SV90]]*HLOOKUP(Table4[[#This Row],[Crop]],Input_Scenario,10,FALSE)*HLOOKUP(Table4[[#This Row],[Crop]],Input_Scenario,5,FALSE),"")</f>
        <v/>
      </c>
      <c r="I119" s="394" t="str">
        <f ca="1">IF(AND(ISNUMBER($D$12),ISNUMBER(Table4[[#This Row],[DDD90 (mg/kg bw/d)]])),$D$48/Table4[[#This Row],[DDD90 (mg/kg bw/d)]],"")</f>
        <v/>
      </c>
      <c r="J119" s="194" t="str">
        <f ca="1">IF(ISNUMBER(Table4[[#This Row],[TERmix]]),"Input provided","No input")</f>
        <v>No input</v>
      </c>
      <c r="K119" s="33"/>
      <c r="L119" s="37"/>
      <c r="P119" s="33"/>
    </row>
    <row r="120" spans="1:16" s="36" customFormat="1" ht="14.45" customHeight="1">
      <c r="A120" s="21"/>
      <c r="B120" s="195"/>
      <c r="C120" s="48" t="s">
        <v>154</v>
      </c>
      <c r="D120" s="48" t="s">
        <v>123</v>
      </c>
      <c r="E120" s="48" t="s">
        <v>103</v>
      </c>
      <c r="F120" s="50" t="s">
        <v>104</v>
      </c>
      <c r="G120" s="49">
        <v>12</v>
      </c>
      <c r="H120" s="393" t="str">
        <f>IF(AND(ISNUMBER(HLOOKUP(Table4[[#This Row],[Crop]],Input_Scenario,10,FALSE)),ISNUMBER(HLOOKUP(Table4[[#This Row],[Crop]],Input_Scenario,5,FALSE))),Table4[[#This Row],[SV90]]*HLOOKUP(Table4[[#This Row],[Crop]],Input_Scenario,10,FALSE)*HLOOKUP(Table4[[#This Row],[Crop]],Input_Scenario,5,FALSE),"")</f>
        <v/>
      </c>
      <c r="I120" s="394" t="str">
        <f ca="1">IF(AND(ISNUMBER($D$12),ISNUMBER(Table4[[#This Row],[DDD90 (mg/kg bw/d)]])),$D$48/Table4[[#This Row],[DDD90 (mg/kg bw/d)]],"")</f>
        <v/>
      </c>
      <c r="J120" s="194" t="str">
        <f ca="1">IF(ISNUMBER(Table4[[#This Row],[TERmix]]),"Input provided","No input")</f>
        <v>No input</v>
      </c>
      <c r="K120" s="33"/>
      <c r="L120" s="37"/>
      <c r="P120" s="33"/>
    </row>
    <row r="121" spans="1:16" s="36" customFormat="1" ht="14.45" customHeight="1">
      <c r="A121" s="21"/>
      <c r="B121" s="195"/>
      <c r="C121" s="48" t="s">
        <v>154</v>
      </c>
      <c r="D121" s="48" t="s">
        <v>123</v>
      </c>
      <c r="E121" s="48" t="s">
        <v>155</v>
      </c>
      <c r="F121" s="50" t="s">
        <v>156</v>
      </c>
      <c r="G121" s="49">
        <v>3.3</v>
      </c>
      <c r="H121" s="393" t="str">
        <f>IF(AND(ISNUMBER(HLOOKUP(Table4[[#This Row],[Crop]],Input_Scenario,10,FALSE)),ISNUMBER(HLOOKUP(Table4[[#This Row],[Crop]],Input_Scenario,5,FALSE))),Table4[[#This Row],[SV90]]*HLOOKUP(Table4[[#This Row],[Crop]],Input_Scenario,10,FALSE)*HLOOKUP(Table4[[#This Row],[Crop]],Input_Scenario,5,FALSE),"")</f>
        <v/>
      </c>
      <c r="I121" s="394" t="str">
        <f ca="1">IF(AND(ISNUMBER($D$12),ISNUMBER(Table4[[#This Row],[DDD90 (mg/kg bw/d)]])),$D$48/Table4[[#This Row],[DDD90 (mg/kg bw/d)]],"")</f>
        <v/>
      </c>
      <c r="J121" s="194" t="str">
        <f ca="1">IF(ISNUMBER(Table4[[#This Row],[TERmix]]),"Input provided","No input")</f>
        <v>No input</v>
      </c>
      <c r="K121" s="33"/>
      <c r="L121" s="37"/>
      <c r="P121" s="33"/>
    </row>
    <row r="122" spans="1:16" s="36" customFormat="1" ht="14.45" customHeight="1">
      <c r="A122" s="21"/>
      <c r="B122" s="195"/>
      <c r="C122" s="48" t="s">
        <v>154</v>
      </c>
      <c r="D122" s="48" t="s">
        <v>119</v>
      </c>
      <c r="E122" s="48" t="s">
        <v>150</v>
      </c>
      <c r="F122" s="50" t="s">
        <v>151</v>
      </c>
      <c r="G122" s="49">
        <v>55.6</v>
      </c>
      <c r="H122" s="393" t="str">
        <f>IF(AND(ISNUMBER(HLOOKUP(Table4[[#This Row],[Crop]],Input_Scenario,10,FALSE)),ISNUMBER(HLOOKUP(Table4[[#This Row],[Crop]],Input_Scenario,5,FALSE))),Table4[[#This Row],[SV90]]*HLOOKUP(Table4[[#This Row],[Crop]],Input_Scenario,10,FALSE)*HLOOKUP(Table4[[#This Row],[Crop]],Input_Scenario,5,FALSE),"")</f>
        <v/>
      </c>
      <c r="I122" s="394" t="str">
        <f ca="1">IF(AND(ISNUMBER($D$12),ISNUMBER(Table4[[#This Row],[DDD90 (mg/kg bw/d)]])),$D$48/Table4[[#This Row],[DDD90 (mg/kg bw/d)]],"")</f>
        <v/>
      </c>
      <c r="J122" s="194" t="str">
        <f ca="1">IF(ISNUMBER(Table4[[#This Row],[TERmix]]),"Input provided","No input")</f>
        <v>No input</v>
      </c>
      <c r="K122" s="33"/>
      <c r="L122" s="37"/>
      <c r="P122" s="33"/>
    </row>
    <row r="123" spans="1:16" s="36" customFormat="1" ht="14.45" customHeight="1">
      <c r="A123" s="21"/>
      <c r="B123" s="195"/>
      <c r="C123" s="48" t="s">
        <v>154</v>
      </c>
      <c r="D123" s="48" t="s">
        <v>159</v>
      </c>
      <c r="E123" s="48" t="s">
        <v>105</v>
      </c>
      <c r="F123" s="50" t="s">
        <v>117</v>
      </c>
      <c r="G123" s="49">
        <v>52.2</v>
      </c>
      <c r="H123" s="393" t="str">
        <f>IF(AND(ISNUMBER(HLOOKUP(Table4[[#This Row],[Crop]],Input_Scenario,10,FALSE)),ISNUMBER(HLOOKUP(Table4[[#This Row],[Crop]],Input_Scenario,5,FALSE))),Table4[[#This Row],[SV90]]*HLOOKUP(Table4[[#This Row],[Crop]],Input_Scenario,10,FALSE)*HLOOKUP(Table4[[#This Row],[Crop]],Input_Scenario,5,FALSE),"")</f>
        <v/>
      </c>
      <c r="I123" s="394" t="str">
        <f ca="1">IF(AND(ISNUMBER($D$12),ISNUMBER(Table4[[#This Row],[DDD90 (mg/kg bw/d)]])),$D$48/Table4[[#This Row],[DDD90 (mg/kg bw/d)]],"")</f>
        <v/>
      </c>
      <c r="J123" s="194" t="str">
        <f ca="1">IF(ISNUMBER(Table4[[#This Row],[TERmix]]),"Input provided","No input")</f>
        <v>No input</v>
      </c>
      <c r="K123" s="33"/>
      <c r="L123" s="37"/>
      <c r="P123" s="33"/>
    </row>
    <row r="124" spans="1:16" s="36" customFormat="1" ht="14.45" customHeight="1">
      <c r="A124" s="21"/>
      <c r="B124" s="195"/>
      <c r="C124" s="48" t="s">
        <v>154</v>
      </c>
      <c r="D124" s="48" t="s">
        <v>123</v>
      </c>
      <c r="E124" s="48" t="s">
        <v>150</v>
      </c>
      <c r="F124" s="50" t="s">
        <v>151</v>
      </c>
      <c r="G124" s="49">
        <v>27.8</v>
      </c>
      <c r="H124" s="393" t="str">
        <f>IF(AND(ISNUMBER(HLOOKUP(Table4[[#This Row],[Crop]],Input_Scenario,10,FALSE)),ISNUMBER(HLOOKUP(Table4[[#This Row],[Crop]],Input_Scenario,5,FALSE))),Table4[[#This Row],[SV90]]*HLOOKUP(Table4[[#This Row],[Crop]],Input_Scenario,10,FALSE)*HLOOKUP(Table4[[#This Row],[Crop]],Input_Scenario,5,FALSE),"")</f>
        <v/>
      </c>
      <c r="I124" s="394" t="str">
        <f ca="1">IF(AND(ISNUMBER($D$12),ISNUMBER(Table4[[#This Row],[DDD90 (mg/kg bw/d)]])),$D$48/Table4[[#This Row],[DDD90 (mg/kg bw/d)]],"")</f>
        <v/>
      </c>
      <c r="J124" s="194" t="str">
        <f ca="1">IF(ISNUMBER(Table4[[#This Row],[TERmix]]),"Input provided","No input")</f>
        <v>No input</v>
      </c>
      <c r="K124" s="33"/>
      <c r="L124" s="37"/>
      <c r="P124" s="33"/>
    </row>
    <row r="125" spans="1:16" s="36" customFormat="1" ht="14.45" customHeight="1">
      <c r="A125" s="21"/>
      <c r="B125" s="195"/>
      <c r="C125" s="48" t="s">
        <v>154</v>
      </c>
      <c r="D125" s="48" t="s">
        <v>109</v>
      </c>
      <c r="E125" s="48" t="s">
        <v>150</v>
      </c>
      <c r="F125" s="50" t="s">
        <v>151</v>
      </c>
      <c r="G125" s="49">
        <v>13.9</v>
      </c>
      <c r="H125" s="393" t="str">
        <f>IF(AND(ISNUMBER(HLOOKUP(Table4[[#This Row],[Crop]],Input_Scenario,10,FALSE)),ISNUMBER(HLOOKUP(Table4[[#This Row],[Crop]],Input_Scenario,5,FALSE))),Table4[[#This Row],[SV90]]*HLOOKUP(Table4[[#This Row],[Crop]],Input_Scenario,10,FALSE)*HLOOKUP(Table4[[#This Row],[Crop]],Input_Scenario,5,FALSE),"")</f>
        <v/>
      </c>
      <c r="I125" s="394" t="str">
        <f ca="1">IF(AND(ISNUMBER($D$12),ISNUMBER(Table4[[#This Row],[DDD90 (mg/kg bw/d)]])),$D$48/Table4[[#This Row],[DDD90 (mg/kg bw/d)]],"")</f>
        <v/>
      </c>
      <c r="J125" s="194" t="str">
        <f ca="1">IF(ISNUMBER(Table4[[#This Row],[TERmix]]),"Input provided","No input")</f>
        <v>No input</v>
      </c>
      <c r="K125" s="33"/>
      <c r="L125" s="37"/>
      <c r="P125" s="33"/>
    </row>
    <row r="126" spans="1:16" s="36" customFormat="1" ht="14.45" customHeight="1">
      <c r="A126" s="21"/>
      <c r="B126" s="195"/>
      <c r="C126" s="48" t="s">
        <v>154</v>
      </c>
      <c r="D126" s="48" t="s">
        <v>109</v>
      </c>
      <c r="E126" s="48" t="s">
        <v>103</v>
      </c>
      <c r="F126" s="50" t="s">
        <v>104</v>
      </c>
      <c r="G126" s="49">
        <v>6</v>
      </c>
      <c r="H126" s="393" t="str">
        <f>IF(AND(ISNUMBER(HLOOKUP(Table4[[#This Row],[Crop]],Input_Scenario,10,FALSE)),ISNUMBER(HLOOKUP(Table4[[#This Row],[Crop]],Input_Scenario,5,FALSE))),Table4[[#This Row],[SV90]]*HLOOKUP(Table4[[#This Row],[Crop]],Input_Scenario,10,FALSE)*HLOOKUP(Table4[[#This Row],[Crop]],Input_Scenario,5,FALSE),"")</f>
        <v/>
      </c>
      <c r="I126" s="394" t="str">
        <f ca="1">IF(AND(ISNUMBER($D$12),ISNUMBER(Table4[[#This Row],[DDD90 (mg/kg bw/d)]])),$D$48/Table4[[#This Row],[DDD90 (mg/kg bw/d)]],"")</f>
        <v/>
      </c>
      <c r="J126" s="194" t="str">
        <f ca="1">IF(ISNUMBER(Table4[[#This Row],[TERmix]]),"Input provided","No input")</f>
        <v>No input</v>
      </c>
      <c r="K126" s="33"/>
      <c r="L126" s="37"/>
      <c r="P126" s="33"/>
    </row>
    <row r="127" spans="1:16" s="36" customFormat="1" ht="14.45" customHeight="1">
      <c r="A127" s="21"/>
      <c r="B127" s="195"/>
      <c r="C127" s="48" t="s">
        <v>154</v>
      </c>
      <c r="D127" s="48" t="s">
        <v>111</v>
      </c>
      <c r="E127" s="48" t="s">
        <v>105</v>
      </c>
      <c r="F127" s="50" t="s">
        <v>106</v>
      </c>
      <c r="G127" s="49">
        <v>12.6</v>
      </c>
      <c r="H127" s="393" t="str">
        <f>IF(AND(ISNUMBER(HLOOKUP(Table4[[#This Row],[Crop]],Input_Scenario,10,FALSE)),ISNUMBER(HLOOKUP(Table4[[#This Row],[Crop]],Input_Scenario,5,FALSE))),Table4[[#This Row],[SV90]]*HLOOKUP(Table4[[#This Row],[Crop]],Input_Scenario,10,FALSE)*HLOOKUP(Table4[[#This Row],[Crop]],Input_Scenario,5,FALSE),"")</f>
        <v/>
      </c>
      <c r="I127" s="394" t="str">
        <f ca="1">IF(AND(ISNUMBER($D$12),ISNUMBER(Table4[[#This Row],[DDD90 (mg/kg bw/d)]])),$D$48/Table4[[#This Row],[DDD90 (mg/kg bw/d)]],"")</f>
        <v/>
      </c>
      <c r="J127" s="194" t="str">
        <f ca="1">IF(ISNUMBER(Table4[[#This Row],[TERmix]]),"Input provided","No input")</f>
        <v>No input</v>
      </c>
      <c r="K127" s="33"/>
      <c r="L127" s="37"/>
      <c r="P127" s="33"/>
    </row>
    <row r="128" spans="1:16" s="36" customFormat="1" ht="14.45" customHeight="1">
      <c r="A128" s="21"/>
      <c r="B128" s="195"/>
      <c r="C128" s="48" t="s">
        <v>160</v>
      </c>
      <c r="D128" s="48" t="s">
        <v>108</v>
      </c>
      <c r="E128" s="48" t="s">
        <v>105</v>
      </c>
      <c r="F128" s="50" t="s">
        <v>106</v>
      </c>
      <c r="G128" s="49">
        <v>10.9</v>
      </c>
      <c r="H128" s="393" t="str">
        <f>IF(AND(ISNUMBER(HLOOKUP(Table4[[#This Row],[Crop]],Input_Scenario,10,FALSE)),ISNUMBER(HLOOKUP(Table4[[#This Row],[Crop]],Input_Scenario,5,FALSE))),Table4[[#This Row],[SV90]]*HLOOKUP(Table4[[#This Row],[Crop]],Input_Scenario,10,FALSE)*HLOOKUP(Table4[[#This Row],[Crop]],Input_Scenario,5,FALSE),"")</f>
        <v/>
      </c>
      <c r="I128" s="394" t="str">
        <f ca="1">IF(AND(ISNUMBER($D$12),ISNUMBER(Table4[[#This Row],[DDD90 (mg/kg bw/d)]])),$D$48/Table4[[#This Row],[DDD90 (mg/kg bw/d)]],"")</f>
        <v/>
      </c>
      <c r="J128" s="194" t="str">
        <f ca="1">IF(ISNUMBER(Table4[[#This Row],[TERmix]]),"Input provided","No input")</f>
        <v>No input</v>
      </c>
      <c r="K128" s="33"/>
      <c r="L128" s="37"/>
      <c r="P128" s="33"/>
    </row>
    <row r="129" spans="1:16" s="36" customFormat="1" ht="14.45" customHeight="1">
      <c r="A129" s="21"/>
      <c r="B129" s="195"/>
      <c r="C129" s="48" t="s">
        <v>160</v>
      </c>
      <c r="D129" s="48" t="s">
        <v>161</v>
      </c>
      <c r="E129" s="48" t="s">
        <v>121</v>
      </c>
      <c r="F129" s="50" t="s">
        <v>162</v>
      </c>
      <c r="G129" s="49">
        <v>39</v>
      </c>
      <c r="H129" s="393" t="str">
        <f>IF(AND(ISNUMBER(HLOOKUP(Table4[[#This Row],[Crop]],Input_Scenario,10,FALSE)),ISNUMBER(HLOOKUP(Table4[[#This Row],[Crop]],Input_Scenario,5,FALSE))),Table4[[#This Row],[SV90]]*HLOOKUP(Table4[[#This Row],[Crop]],Input_Scenario,10,FALSE)*HLOOKUP(Table4[[#This Row],[Crop]],Input_Scenario,5,FALSE),"")</f>
        <v/>
      </c>
      <c r="I129" s="394" t="str">
        <f ca="1">IF(AND(ISNUMBER($D$12),ISNUMBER(Table4[[#This Row],[DDD90 (mg/kg bw/d)]])),$D$48/Table4[[#This Row],[DDD90 (mg/kg bw/d)]],"")</f>
        <v/>
      </c>
      <c r="J129" s="194" t="str">
        <f ca="1">IF(ISNUMBER(Table4[[#This Row],[TERmix]]),"Input provided","No input")</f>
        <v>No input</v>
      </c>
      <c r="K129" s="33"/>
      <c r="L129" s="37"/>
      <c r="P129" s="33"/>
    </row>
    <row r="130" spans="1:16" s="36" customFormat="1" ht="14.45" customHeight="1">
      <c r="A130" s="21"/>
      <c r="B130" s="195"/>
      <c r="C130" s="48" t="s">
        <v>160</v>
      </c>
      <c r="D130" s="48" t="s">
        <v>163</v>
      </c>
      <c r="E130" s="48" t="s">
        <v>101</v>
      </c>
      <c r="F130" s="50" t="s">
        <v>102</v>
      </c>
      <c r="G130" s="49">
        <v>24.7</v>
      </c>
      <c r="H130" s="393" t="str">
        <f>IF(AND(ISNUMBER(HLOOKUP(Table4[[#This Row],[Crop]],Input_Scenario,10,FALSE)),ISNUMBER(HLOOKUP(Table4[[#This Row],[Crop]],Input_Scenario,5,FALSE))),Table4[[#This Row],[SV90]]*HLOOKUP(Table4[[#This Row],[Crop]],Input_Scenario,10,FALSE)*HLOOKUP(Table4[[#This Row],[Crop]],Input_Scenario,5,FALSE),"")</f>
        <v/>
      </c>
      <c r="I130" s="394" t="str">
        <f ca="1">IF(AND(ISNUMBER($D$12),ISNUMBER(Table4[[#This Row],[DDD90 (mg/kg bw/d)]])),$D$48/Table4[[#This Row],[DDD90 (mg/kg bw/d)]],"")</f>
        <v/>
      </c>
      <c r="J130" s="194" t="str">
        <f ca="1">IF(ISNUMBER(Table4[[#This Row],[TERmix]]),"Input provided","No input")</f>
        <v>No input</v>
      </c>
      <c r="K130" s="33"/>
      <c r="L130" s="37"/>
      <c r="P130" s="33"/>
    </row>
    <row r="131" spans="1:16" s="36" customFormat="1" ht="14.45" customHeight="1">
      <c r="A131" s="21"/>
      <c r="B131" s="195"/>
      <c r="C131" s="48" t="s">
        <v>160</v>
      </c>
      <c r="D131" s="48" t="s">
        <v>119</v>
      </c>
      <c r="E131" s="48" t="s">
        <v>103</v>
      </c>
      <c r="F131" s="50" t="s">
        <v>104</v>
      </c>
      <c r="G131" s="49">
        <v>24</v>
      </c>
      <c r="H131" s="393" t="str">
        <f>IF(AND(ISNUMBER(HLOOKUP(Table4[[#This Row],[Crop]],Input_Scenario,10,FALSE)),ISNUMBER(HLOOKUP(Table4[[#This Row],[Crop]],Input_Scenario,5,FALSE))),Table4[[#This Row],[SV90]]*HLOOKUP(Table4[[#This Row],[Crop]],Input_Scenario,10,FALSE)*HLOOKUP(Table4[[#This Row],[Crop]],Input_Scenario,5,FALSE),"")</f>
        <v/>
      </c>
      <c r="I131" s="394" t="str">
        <f ca="1">IF(AND(ISNUMBER($D$12),ISNUMBER(Table4[[#This Row],[DDD90 (mg/kg bw/d)]])),$D$48/Table4[[#This Row],[DDD90 (mg/kg bw/d)]],"")</f>
        <v/>
      </c>
      <c r="J131" s="194" t="str">
        <f ca="1">IF(ISNUMBER(Table4[[#This Row],[TERmix]]),"Input provided","No input")</f>
        <v>No input</v>
      </c>
      <c r="K131" s="33"/>
      <c r="L131" s="37"/>
      <c r="P131" s="33"/>
    </row>
    <row r="132" spans="1:16" s="36" customFormat="1" ht="14.45" customHeight="1">
      <c r="A132" s="21"/>
      <c r="B132" s="195"/>
      <c r="C132" s="48" t="s">
        <v>160</v>
      </c>
      <c r="D132" s="48" t="s">
        <v>164</v>
      </c>
      <c r="E132" s="48" t="s">
        <v>150</v>
      </c>
      <c r="F132" s="50" t="s">
        <v>151</v>
      </c>
      <c r="G132" s="49">
        <v>4</v>
      </c>
      <c r="H132" s="393" t="str">
        <f>IF(AND(ISNUMBER(HLOOKUP(Table4[[#This Row],[Crop]],Input_Scenario,10,FALSE)),ISNUMBER(HLOOKUP(Table4[[#This Row],[Crop]],Input_Scenario,5,FALSE))),Table4[[#This Row],[SV90]]*HLOOKUP(Table4[[#This Row],[Crop]],Input_Scenario,10,FALSE)*HLOOKUP(Table4[[#This Row],[Crop]],Input_Scenario,5,FALSE),"")</f>
        <v/>
      </c>
      <c r="I132" s="394" t="str">
        <f ca="1">IF(AND(ISNUMBER($D$12),ISNUMBER(Table4[[#This Row],[DDD90 (mg/kg bw/d)]])),$D$48/Table4[[#This Row],[DDD90 (mg/kg bw/d)]],"")</f>
        <v/>
      </c>
      <c r="J132" s="194" t="str">
        <f ca="1">IF(ISNUMBER(Table4[[#This Row],[TERmix]]),"Input provided","No input")</f>
        <v>No input</v>
      </c>
      <c r="K132" s="33"/>
      <c r="L132" s="37"/>
      <c r="P132" s="33"/>
    </row>
    <row r="133" spans="1:16" s="36" customFormat="1" ht="14.45" customHeight="1">
      <c r="A133" s="21"/>
      <c r="B133" s="195"/>
      <c r="C133" s="48" t="s">
        <v>160</v>
      </c>
      <c r="D133" s="48" t="s">
        <v>109</v>
      </c>
      <c r="E133" s="48" t="s">
        <v>103</v>
      </c>
      <c r="F133" s="50" t="s">
        <v>104</v>
      </c>
      <c r="G133" s="49">
        <v>6</v>
      </c>
      <c r="H133" s="393" t="str">
        <f>IF(AND(ISNUMBER(HLOOKUP(Table4[[#This Row],[Crop]],Input_Scenario,10,FALSE)),ISNUMBER(HLOOKUP(Table4[[#This Row],[Crop]],Input_Scenario,5,FALSE))),Table4[[#This Row],[SV90]]*HLOOKUP(Table4[[#This Row],[Crop]],Input_Scenario,10,FALSE)*HLOOKUP(Table4[[#This Row],[Crop]],Input_Scenario,5,FALSE),"")</f>
        <v/>
      </c>
      <c r="I133" s="394" t="str">
        <f ca="1">IF(AND(ISNUMBER($D$12),ISNUMBER(Table4[[#This Row],[DDD90 (mg/kg bw/d)]])),$D$48/Table4[[#This Row],[DDD90 (mg/kg bw/d)]],"")</f>
        <v/>
      </c>
      <c r="J133" s="194" t="str">
        <f ca="1">IF(ISNUMBER(Table4[[#This Row],[TERmix]]),"Input provided","No input")</f>
        <v>No input</v>
      </c>
      <c r="K133" s="33"/>
      <c r="L133" s="37"/>
      <c r="P133" s="33"/>
    </row>
    <row r="134" spans="1:16" s="36" customFormat="1" ht="14.45" customHeight="1">
      <c r="A134" s="21"/>
      <c r="B134" s="195"/>
      <c r="C134" s="48" t="s">
        <v>160</v>
      </c>
      <c r="D134" s="48" t="s">
        <v>108</v>
      </c>
      <c r="E134" s="48" t="s">
        <v>150</v>
      </c>
      <c r="F134" s="50" t="s">
        <v>151</v>
      </c>
      <c r="G134" s="49">
        <v>55.6</v>
      </c>
      <c r="H134" s="393" t="str">
        <f>IF(AND(ISNUMBER(HLOOKUP(Table4[[#This Row],[Crop]],Input_Scenario,10,FALSE)),ISNUMBER(HLOOKUP(Table4[[#This Row],[Crop]],Input_Scenario,5,FALSE))),Table4[[#This Row],[SV90]]*HLOOKUP(Table4[[#This Row],[Crop]],Input_Scenario,10,FALSE)*HLOOKUP(Table4[[#This Row],[Crop]],Input_Scenario,5,FALSE),"")</f>
        <v/>
      </c>
      <c r="I134" s="394" t="str">
        <f ca="1">IF(AND(ISNUMBER($D$12),ISNUMBER(Table4[[#This Row],[DDD90 (mg/kg bw/d)]])),$D$48/Table4[[#This Row],[DDD90 (mg/kg bw/d)]],"")</f>
        <v/>
      </c>
      <c r="J134" s="194" t="str">
        <f ca="1">IF(ISNUMBER(Table4[[#This Row],[TERmix]]),"Input provided","No input")</f>
        <v>No input</v>
      </c>
      <c r="K134" s="33"/>
      <c r="L134" s="37"/>
      <c r="P134" s="33"/>
    </row>
    <row r="135" spans="1:16" s="36" customFormat="1" ht="14.45" customHeight="1">
      <c r="A135" s="21"/>
      <c r="B135" s="195"/>
      <c r="C135" s="48" t="s">
        <v>160</v>
      </c>
      <c r="D135" s="48" t="s">
        <v>123</v>
      </c>
      <c r="E135" s="48" t="s">
        <v>103</v>
      </c>
      <c r="F135" s="50" t="s">
        <v>104</v>
      </c>
      <c r="G135" s="49">
        <v>7.2</v>
      </c>
      <c r="H135" s="393" t="str">
        <f>IF(AND(ISNUMBER(HLOOKUP(Table4[[#This Row],[Crop]],Input_Scenario,10,FALSE)),ISNUMBER(HLOOKUP(Table4[[#This Row],[Crop]],Input_Scenario,5,FALSE))),Table4[[#This Row],[SV90]]*HLOOKUP(Table4[[#This Row],[Crop]],Input_Scenario,10,FALSE)*HLOOKUP(Table4[[#This Row],[Crop]],Input_Scenario,5,FALSE),"")</f>
        <v/>
      </c>
      <c r="I135" s="394" t="str">
        <f ca="1">IF(AND(ISNUMBER($D$12),ISNUMBER(Table4[[#This Row],[DDD90 (mg/kg bw/d)]])),$D$48/Table4[[#This Row],[DDD90 (mg/kg bw/d)]],"")</f>
        <v/>
      </c>
      <c r="J135" s="194" t="str">
        <f ca="1">IF(ISNUMBER(Table4[[#This Row],[TERmix]]),"Input provided","No input")</f>
        <v>No input</v>
      </c>
      <c r="K135" s="33"/>
      <c r="L135" s="37"/>
      <c r="P135" s="33"/>
    </row>
    <row r="136" spans="1:16" s="36" customFormat="1" ht="14.45" customHeight="1">
      <c r="A136" s="21"/>
      <c r="B136" s="195"/>
      <c r="C136" s="48" t="s">
        <v>160</v>
      </c>
      <c r="D136" s="48" t="s">
        <v>123</v>
      </c>
      <c r="E136" s="48" t="s">
        <v>150</v>
      </c>
      <c r="F136" s="50" t="s">
        <v>151</v>
      </c>
      <c r="G136" s="49">
        <v>2.4</v>
      </c>
      <c r="H136" s="393" t="str">
        <f>IF(AND(ISNUMBER(HLOOKUP(Table4[[#This Row],[Crop]],Input_Scenario,10,FALSE)),ISNUMBER(HLOOKUP(Table4[[#This Row],[Crop]],Input_Scenario,5,FALSE))),Table4[[#This Row],[SV90]]*HLOOKUP(Table4[[#This Row],[Crop]],Input_Scenario,10,FALSE)*HLOOKUP(Table4[[#This Row],[Crop]],Input_Scenario,5,FALSE),"")</f>
        <v/>
      </c>
      <c r="I136" s="394" t="str">
        <f ca="1">IF(AND(ISNUMBER($D$12),ISNUMBER(Table4[[#This Row],[DDD90 (mg/kg bw/d)]])),$D$48/Table4[[#This Row],[DDD90 (mg/kg bw/d)]],"")</f>
        <v/>
      </c>
      <c r="J136" s="194" t="str">
        <f ca="1">IF(ISNUMBER(Table4[[#This Row],[TERmix]]),"Input provided","No input")</f>
        <v>No input</v>
      </c>
      <c r="K136" s="33"/>
      <c r="L136" s="37"/>
      <c r="P136" s="33"/>
    </row>
    <row r="137" spans="1:16" s="36" customFormat="1" ht="14.45" customHeight="1">
      <c r="A137" s="21"/>
      <c r="B137" s="195"/>
      <c r="C137" s="48" t="s">
        <v>160</v>
      </c>
      <c r="D137" s="48" t="s">
        <v>109</v>
      </c>
      <c r="E137" s="48" t="s">
        <v>150</v>
      </c>
      <c r="F137" s="50" t="s">
        <v>151</v>
      </c>
      <c r="G137" s="49">
        <v>2</v>
      </c>
      <c r="H137" s="393" t="str">
        <f>IF(AND(ISNUMBER(HLOOKUP(Table4[[#This Row],[Crop]],Input_Scenario,10,FALSE)),ISNUMBER(HLOOKUP(Table4[[#This Row],[Crop]],Input_Scenario,5,FALSE))),Table4[[#This Row],[SV90]]*HLOOKUP(Table4[[#This Row],[Crop]],Input_Scenario,10,FALSE)*HLOOKUP(Table4[[#This Row],[Crop]],Input_Scenario,5,FALSE),"")</f>
        <v/>
      </c>
      <c r="I137" s="394" t="str">
        <f ca="1">IF(AND(ISNUMBER($D$12),ISNUMBER(Table4[[#This Row],[DDD90 (mg/kg bw/d)]])),$D$48/Table4[[#This Row],[DDD90 (mg/kg bw/d)]],"")</f>
        <v/>
      </c>
      <c r="J137" s="194" t="str">
        <f ca="1">IF(ISNUMBER(Table4[[#This Row],[TERmix]]),"Input provided","No input")</f>
        <v>No input</v>
      </c>
      <c r="K137" s="33"/>
      <c r="L137" s="37"/>
      <c r="P137" s="33"/>
    </row>
    <row r="138" spans="1:16" s="36" customFormat="1" ht="14.45" customHeight="1">
      <c r="A138" s="21"/>
      <c r="B138" s="195"/>
      <c r="C138" s="48" t="s">
        <v>160</v>
      </c>
      <c r="D138" s="48" t="s">
        <v>165</v>
      </c>
      <c r="E138" s="48" t="s">
        <v>105</v>
      </c>
      <c r="F138" s="50" t="s">
        <v>166</v>
      </c>
      <c r="G138" s="49">
        <v>7.4</v>
      </c>
      <c r="H138" s="393" t="str">
        <f>IF(AND(ISNUMBER(HLOOKUP(Table4[[#This Row],[Crop]],Input_Scenario,10,FALSE)),ISNUMBER(HLOOKUP(Table4[[#This Row],[Crop]],Input_Scenario,5,FALSE))),Table4[[#This Row],[SV90]]*HLOOKUP(Table4[[#This Row],[Crop]],Input_Scenario,10,FALSE)*HLOOKUP(Table4[[#This Row],[Crop]],Input_Scenario,5,FALSE),"")</f>
        <v/>
      </c>
      <c r="I138" s="394" t="str">
        <f ca="1">IF(AND(ISNUMBER($D$12),ISNUMBER(Table4[[#This Row],[DDD90 (mg/kg bw/d)]])),$D$48/Table4[[#This Row],[DDD90 (mg/kg bw/d)]],"")</f>
        <v/>
      </c>
      <c r="J138" s="194" t="str">
        <f ca="1">IF(ISNUMBER(Table4[[#This Row],[TERmix]]),"Input provided","No input")</f>
        <v>No input</v>
      </c>
      <c r="K138" s="33"/>
      <c r="L138" s="37"/>
      <c r="P138" s="33"/>
    </row>
    <row r="139" spans="1:16" s="36" customFormat="1" ht="14.45" customHeight="1">
      <c r="A139" s="21"/>
      <c r="B139" s="195"/>
      <c r="C139" s="48" t="s">
        <v>160</v>
      </c>
      <c r="D139" s="48" t="s">
        <v>164</v>
      </c>
      <c r="E139" s="48" t="s">
        <v>105</v>
      </c>
      <c r="F139" s="50" t="s">
        <v>106</v>
      </c>
      <c r="G139" s="49">
        <v>7.7</v>
      </c>
      <c r="H139" s="393" t="str">
        <f>IF(AND(ISNUMBER(HLOOKUP(Table4[[#This Row],[Crop]],Input_Scenario,10,FALSE)),ISNUMBER(HLOOKUP(Table4[[#This Row],[Crop]],Input_Scenario,5,FALSE))),Table4[[#This Row],[SV90]]*HLOOKUP(Table4[[#This Row],[Crop]],Input_Scenario,10,FALSE)*HLOOKUP(Table4[[#This Row],[Crop]],Input_Scenario,5,FALSE),"")</f>
        <v/>
      </c>
      <c r="I139" s="394" t="str">
        <f ca="1">IF(AND(ISNUMBER($D$12),ISNUMBER(Table4[[#This Row],[DDD90 (mg/kg bw/d)]])),$D$48/Table4[[#This Row],[DDD90 (mg/kg bw/d)]],"")</f>
        <v/>
      </c>
      <c r="J139" s="194" t="str">
        <f ca="1">IF(ISNUMBER(Table4[[#This Row],[TERmix]]),"Input provided","No input")</f>
        <v>No input</v>
      </c>
      <c r="K139" s="33"/>
      <c r="L139" s="37"/>
      <c r="P139" s="33"/>
    </row>
    <row r="140" spans="1:16" s="36" customFormat="1" ht="14.45" customHeight="1">
      <c r="A140" s="21"/>
      <c r="B140" s="195"/>
      <c r="C140" s="48" t="s">
        <v>167</v>
      </c>
      <c r="D140" s="48" t="s">
        <v>168</v>
      </c>
      <c r="E140" s="48" t="s">
        <v>105</v>
      </c>
      <c r="F140" s="50" t="s">
        <v>169</v>
      </c>
      <c r="G140" s="49">
        <v>46.8</v>
      </c>
      <c r="H140" s="393" t="str">
        <f>IF(AND(ISNUMBER(HLOOKUP(Table4[[#This Row],[Crop]],Input_Scenario,10,FALSE)),ISNUMBER(HLOOKUP(Table4[[#This Row],[Crop]],Input_Scenario,5,FALSE))),Table4[[#This Row],[SV90]]*HLOOKUP(Table4[[#This Row],[Crop]],Input_Scenario,10,FALSE)*HLOOKUP(Table4[[#This Row],[Crop]],Input_Scenario,5,FALSE),"")</f>
        <v/>
      </c>
      <c r="I140" s="394" t="str">
        <f ca="1">IF(AND(ISNUMBER($D$12),ISNUMBER(Table4[[#This Row],[DDD90 (mg/kg bw/d)]])),$D$48/Table4[[#This Row],[DDD90 (mg/kg bw/d)]],"")</f>
        <v/>
      </c>
      <c r="J140" s="194" t="str">
        <f ca="1">IF(ISNUMBER(Table4[[#This Row],[TERmix]]),"Input provided","No input")</f>
        <v>No input</v>
      </c>
      <c r="K140" s="33"/>
      <c r="L140" s="37"/>
      <c r="P140" s="33"/>
    </row>
    <row r="141" spans="1:16" s="36" customFormat="1" ht="14.45" customHeight="1">
      <c r="A141" s="21"/>
      <c r="B141" s="195"/>
      <c r="C141" s="48" t="s">
        <v>167</v>
      </c>
      <c r="D141" s="48" t="s">
        <v>170</v>
      </c>
      <c r="E141" s="48" t="s">
        <v>171</v>
      </c>
      <c r="F141" s="50" t="s">
        <v>158</v>
      </c>
      <c r="G141" s="49">
        <v>5.9</v>
      </c>
      <c r="H141" s="393" t="str">
        <f>IF(AND(ISNUMBER(HLOOKUP(Table4[[#This Row],[Crop]],Input_Scenario,10,FALSE)),ISNUMBER(HLOOKUP(Table4[[#This Row],[Crop]],Input_Scenario,5,FALSE))),Table4[[#This Row],[SV90]]*HLOOKUP(Table4[[#This Row],[Crop]],Input_Scenario,10,FALSE)*HLOOKUP(Table4[[#This Row],[Crop]],Input_Scenario,5,FALSE),"")</f>
        <v/>
      </c>
      <c r="I141" s="394" t="str">
        <f ca="1">IF(AND(ISNUMBER($D$12),ISNUMBER(Table4[[#This Row],[DDD90 (mg/kg bw/d)]])),$D$48/Table4[[#This Row],[DDD90 (mg/kg bw/d)]],"")</f>
        <v/>
      </c>
      <c r="J141" s="194" t="str">
        <f ca="1">IF(ISNUMBER(Table4[[#This Row],[TERmix]]),"Input provided","No input")</f>
        <v>No input</v>
      </c>
      <c r="K141" s="33"/>
      <c r="L141" s="37"/>
      <c r="P141" s="33"/>
    </row>
    <row r="142" spans="1:16" s="36" customFormat="1" ht="14.45" customHeight="1">
      <c r="A142" s="21"/>
      <c r="B142" s="195"/>
      <c r="C142" s="48" t="s">
        <v>167</v>
      </c>
      <c r="D142" s="48" t="s">
        <v>170</v>
      </c>
      <c r="E142" s="48" t="s">
        <v>101</v>
      </c>
      <c r="F142" s="50" t="s">
        <v>148</v>
      </c>
      <c r="G142" s="49">
        <v>21.9</v>
      </c>
      <c r="H142" s="393" t="str">
        <f>IF(AND(ISNUMBER(HLOOKUP(Table4[[#This Row],[Crop]],Input_Scenario,10,FALSE)),ISNUMBER(HLOOKUP(Table4[[#This Row],[Crop]],Input_Scenario,5,FALSE))),Table4[[#This Row],[SV90]]*HLOOKUP(Table4[[#This Row],[Crop]],Input_Scenario,10,FALSE)*HLOOKUP(Table4[[#This Row],[Crop]],Input_Scenario,5,FALSE),"")</f>
        <v/>
      </c>
      <c r="I142" s="394" t="str">
        <f ca="1">IF(AND(ISNUMBER($D$12),ISNUMBER(Table4[[#This Row],[DDD90 (mg/kg bw/d)]])),$D$48/Table4[[#This Row],[DDD90 (mg/kg bw/d)]],"")</f>
        <v/>
      </c>
      <c r="J142" s="194" t="str">
        <f ca="1">IF(ISNUMBER(Table4[[#This Row],[TERmix]]),"Input provided","No input")</f>
        <v>No input</v>
      </c>
      <c r="K142" s="33"/>
      <c r="L142" s="37"/>
      <c r="P142" s="33"/>
    </row>
    <row r="143" spans="1:16" s="36" customFormat="1" ht="14.45" customHeight="1">
      <c r="A143" s="21"/>
      <c r="B143" s="195"/>
      <c r="C143" s="48" t="s">
        <v>167</v>
      </c>
      <c r="D143" s="48" t="s">
        <v>172</v>
      </c>
      <c r="E143" s="48" t="s">
        <v>171</v>
      </c>
      <c r="F143" s="50" t="s">
        <v>158</v>
      </c>
      <c r="G143" s="49">
        <v>4.4000000000000004</v>
      </c>
      <c r="H143" s="393" t="str">
        <f>IF(AND(ISNUMBER(HLOOKUP(Table4[[#This Row],[Crop]],Input_Scenario,10,FALSE)),ISNUMBER(HLOOKUP(Table4[[#This Row],[Crop]],Input_Scenario,5,FALSE))),Table4[[#This Row],[SV90]]*HLOOKUP(Table4[[#This Row],[Crop]],Input_Scenario,10,FALSE)*HLOOKUP(Table4[[#This Row],[Crop]],Input_Scenario,5,FALSE),"")</f>
        <v/>
      </c>
      <c r="I143" s="394" t="str">
        <f ca="1">IF(AND(ISNUMBER($D$12),ISNUMBER(Table4[[#This Row],[DDD90 (mg/kg bw/d)]])),$D$48/Table4[[#This Row],[DDD90 (mg/kg bw/d)]],"")</f>
        <v/>
      </c>
      <c r="J143" s="194" t="str">
        <f ca="1">IF(ISNUMBER(Table4[[#This Row],[TERmix]]),"Input provided","No input")</f>
        <v>No input</v>
      </c>
      <c r="K143" s="33"/>
      <c r="L143" s="37"/>
      <c r="P143" s="33"/>
    </row>
    <row r="144" spans="1:16" s="36" customFormat="1" ht="14.45" customHeight="1">
      <c r="A144" s="21"/>
      <c r="B144" s="195"/>
      <c r="C144" s="48" t="s">
        <v>167</v>
      </c>
      <c r="D144" s="48" t="s">
        <v>172</v>
      </c>
      <c r="E144" s="48" t="s">
        <v>101</v>
      </c>
      <c r="F144" s="50" t="s">
        <v>148</v>
      </c>
      <c r="G144" s="49">
        <v>16.399999999999999</v>
      </c>
      <c r="H144" s="393" t="str">
        <f>IF(AND(ISNUMBER(HLOOKUP(Table4[[#This Row],[Crop]],Input_Scenario,10,FALSE)),ISNUMBER(HLOOKUP(Table4[[#This Row],[Crop]],Input_Scenario,5,FALSE))),Table4[[#This Row],[SV90]]*HLOOKUP(Table4[[#This Row],[Crop]],Input_Scenario,10,FALSE)*HLOOKUP(Table4[[#This Row],[Crop]],Input_Scenario,5,FALSE),"")</f>
        <v/>
      </c>
      <c r="I144" s="394" t="str">
        <f ca="1">IF(AND(ISNUMBER($D$12),ISNUMBER(Table4[[#This Row],[DDD90 (mg/kg bw/d)]])),$D$48/Table4[[#This Row],[DDD90 (mg/kg bw/d)]],"")</f>
        <v/>
      </c>
      <c r="J144" s="194" t="str">
        <f ca="1">IF(ISNUMBER(Table4[[#This Row],[TERmix]]),"Input provided","No input")</f>
        <v>No input</v>
      </c>
      <c r="K144" s="33"/>
      <c r="L144" s="37"/>
      <c r="P144" s="33"/>
    </row>
    <row r="145" spans="1:16" s="36" customFormat="1" ht="14.45" customHeight="1">
      <c r="A145" s="21"/>
      <c r="B145" s="195"/>
      <c r="C145" s="48" t="s">
        <v>167</v>
      </c>
      <c r="D145" s="48" t="s">
        <v>173</v>
      </c>
      <c r="E145" s="48" t="s">
        <v>171</v>
      </c>
      <c r="F145" s="50" t="s">
        <v>158</v>
      </c>
      <c r="G145" s="49">
        <v>2.2000000000000002</v>
      </c>
      <c r="H145" s="393" t="str">
        <f>IF(AND(ISNUMBER(HLOOKUP(Table4[[#This Row],[Crop]],Input_Scenario,10,FALSE)),ISNUMBER(HLOOKUP(Table4[[#This Row],[Crop]],Input_Scenario,5,FALSE))),Table4[[#This Row],[SV90]]*HLOOKUP(Table4[[#This Row],[Crop]],Input_Scenario,10,FALSE)*HLOOKUP(Table4[[#This Row],[Crop]],Input_Scenario,5,FALSE),"")</f>
        <v/>
      </c>
      <c r="I145" s="394" t="str">
        <f ca="1">IF(AND(ISNUMBER($D$12),ISNUMBER(Table4[[#This Row],[DDD90 (mg/kg bw/d)]])),$D$48/Table4[[#This Row],[DDD90 (mg/kg bw/d)]],"")</f>
        <v/>
      </c>
      <c r="J145" s="194" t="str">
        <f ca="1">IF(ISNUMBER(Table4[[#This Row],[TERmix]]),"Input provided","No input")</f>
        <v>No input</v>
      </c>
      <c r="K145" s="33"/>
      <c r="L145" s="37"/>
      <c r="P145" s="33"/>
    </row>
    <row r="146" spans="1:16" s="36" customFormat="1" ht="14.45" customHeight="1">
      <c r="A146" s="21"/>
      <c r="B146" s="195"/>
      <c r="C146" s="48" t="s">
        <v>167</v>
      </c>
      <c r="D146" s="48" t="s">
        <v>173</v>
      </c>
      <c r="E146" s="48" t="s">
        <v>101</v>
      </c>
      <c r="F146" s="50" t="s">
        <v>148</v>
      </c>
      <c r="G146" s="49">
        <v>8.1999999999999993</v>
      </c>
      <c r="H146" s="393" t="str">
        <f>IF(AND(ISNUMBER(HLOOKUP(Table4[[#This Row],[Crop]],Input_Scenario,10,FALSE)),ISNUMBER(HLOOKUP(Table4[[#This Row],[Crop]],Input_Scenario,5,FALSE))),Table4[[#This Row],[SV90]]*HLOOKUP(Table4[[#This Row],[Crop]],Input_Scenario,10,FALSE)*HLOOKUP(Table4[[#This Row],[Crop]],Input_Scenario,5,FALSE),"")</f>
        <v/>
      </c>
      <c r="I146" s="394" t="str">
        <f ca="1">IF(AND(ISNUMBER($D$12),ISNUMBER(Table4[[#This Row],[DDD90 (mg/kg bw/d)]])),$D$48/Table4[[#This Row],[DDD90 (mg/kg bw/d)]],"")</f>
        <v/>
      </c>
      <c r="J146" s="194" t="str">
        <f ca="1">IF(ISNUMBER(Table4[[#This Row],[TERmix]]),"Input provided","No input")</f>
        <v>No input</v>
      </c>
      <c r="K146" s="33"/>
      <c r="L146" s="37"/>
      <c r="P146" s="33"/>
    </row>
    <row r="147" spans="1:16" s="36" customFormat="1" ht="14.45" customHeight="1">
      <c r="A147" s="21"/>
      <c r="B147" s="195"/>
      <c r="C147" s="48" t="s">
        <v>167</v>
      </c>
      <c r="D147" s="48" t="s">
        <v>174</v>
      </c>
      <c r="E147" s="48" t="s">
        <v>171</v>
      </c>
      <c r="F147" s="50" t="s">
        <v>158</v>
      </c>
      <c r="G147" s="49">
        <v>7.4</v>
      </c>
      <c r="H147" s="393" t="str">
        <f>IF(AND(ISNUMBER(HLOOKUP(Table4[[#This Row],[Crop]],Input_Scenario,10,FALSE)),ISNUMBER(HLOOKUP(Table4[[#This Row],[Crop]],Input_Scenario,5,FALSE))),Table4[[#This Row],[SV90]]*HLOOKUP(Table4[[#This Row],[Crop]],Input_Scenario,10,FALSE)*HLOOKUP(Table4[[#This Row],[Crop]],Input_Scenario,5,FALSE),"")</f>
        <v/>
      </c>
      <c r="I147" s="394" t="str">
        <f ca="1">IF(AND(ISNUMBER($D$12),ISNUMBER(Table4[[#This Row],[DDD90 (mg/kg bw/d)]])),$D$48/Table4[[#This Row],[DDD90 (mg/kg bw/d)]],"")</f>
        <v/>
      </c>
      <c r="J147" s="194" t="str">
        <f ca="1">IF(ISNUMBER(Table4[[#This Row],[TERmix]]),"Input provided","No input")</f>
        <v>No input</v>
      </c>
      <c r="K147" s="33"/>
      <c r="L147" s="37"/>
      <c r="P147" s="33"/>
    </row>
    <row r="148" spans="1:16" s="36" customFormat="1" ht="14.45" customHeight="1">
      <c r="A148" s="21"/>
      <c r="B148" s="195"/>
      <c r="C148" s="48" t="s">
        <v>167</v>
      </c>
      <c r="D148" s="48" t="s">
        <v>174</v>
      </c>
      <c r="E148" s="48" t="s">
        <v>101</v>
      </c>
      <c r="F148" s="50" t="s">
        <v>148</v>
      </c>
      <c r="G148" s="49">
        <v>27.4</v>
      </c>
      <c r="H148" s="393" t="str">
        <f>IF(AND(ISNUMBER(HLOOKUP(Table4[[#This Row],[Crop]],Input_Scenario,10,FALSE)),ISNUMBER(HLOOKUP(Table4[[#This Row],[Crop]],Input_Scenario,5,FALSE))),Table4[[#This Row],[SV90]]*HLOOKUP(Table4[[#This Row],[Crop]],Input_Scenario,10,FALSE)*HLOOKUP(Table4[[#This Row],[Crop]],Input_Scenario,5,FALSE),"")</f>
        <v/>
      </c>
      <c r="I148" s="394" t="str">
        <f ca="1">IF(AND(ISNUMBER($D$12),ISNUMBER(Table4[[#This Row],[DDD90 (mg/kg bw/d)]])),$D$48/Table4[[#This Row],[DDD90 (mg/kg bw/d)]],"")</f>
        <v/>
      </c>
      <c r="J148" s="194" t="str">
        <f ca="1">IF(ISNUMBER(Table4[[#This Row],[TERmix]]),"Input provided","No input")</f>
        <v>No input</v>
      </c>
      <c r="K148" s="33"/>
      <c r="L148" s="37"/>
      <c r="P148" s="33"/>
    </row>
    <row r="149" spans="1:16" s="36" customFormat="1" ht="14.45" customHeight="1">
      <c r="A149" s="21"/>
      <c r="B149" s="195"/>
      <c r="C149" s="48" t="s">
        <v>175</v>
      </c>
      <c r="D149" s="48" t="s">
        <v>176</v>
      </c>
      <c r="E149" s="48" t="s">
        <v>105</v>
      </c>
      <c r="F149" s="50" t="s">
        <v>169</v>
      </c>
      <c r="G149" s="49">
        <v>46.8</v>
      </c>
      <c r="H149" s="393" t="str">
        <f>IF(AND(ISNUMBER(HLOOKUP(Table4[[#This Row],[Crop]],Input_Scenario,10,FALSE)),ISNUMBER(HLOOKUP(Table4[[#This Row],[Crop]],Input_Scenario,5,FALSE))),Table4[[#This Row],[SV90]]*HLOOKUP(Table4[[#This Row],[Crop]],Input_Scenario,10,FALSE)*HLOOKUP(Table4[[#This Row],[Crop]],Input_Scenario,5,FALSE),"")</f>
        <v/>
      </c>
      <c r="I149" s="394" t="str">
        <f ca="1">IF(AND(ISNUMBER($D$12),ISNUMBER(Table4[[#This Row],[DDD90 (mg/kg bw/d)]])),$D$48/Table4[[#This Row],[DDD90 (mg/kg bw/d)]],"")</f>
        <v/>
      </c>
      <c r="J149" s="194" t="str">
        <f ca="1">IF(ISNUMBER(Table4[[#This Row],[TERmix]]),"Input provided","No input")</f>
        <v>No input</v>
      </c>
      <c r="K149" s="33"/>
      <c r="L149" s="37"/>
      <c r="P149" s="33"/>
    </row>
    <row r="150" spans="1:16" s="36" customFormat="1" ht="14.45" customHeight="1">
      <c r="A150" s="21"/>
      <c r="B150" s="195"/>
      <c r="C150" s="48" t="s">
        <v>175</v>
      </c>
      <c r="D150" s="48" t="s">
        <v>177</v>
      </c>
      <c r="E150" s="48" t="s">
        <v>171</v>
      </c>
      <c r="F150" s="50" t="s">
        <v>158</v>
      </c>
      <c r="G150" s="49">
        <v>7.4</v>
      </c>
      <c r="H150" s="393" t="str">
        <f>IF(AND(ISNUMBER(HLOOKUP(Table4[[#This Row],[Crop]],Input_Scenario,10,FALSE)),ISNUMBER(HLOOKUP(Table4[[#This Row],[Crop]],Input_Scenario,5,FALSE))),Table4[[#This Row],[SV90]]*HLOOKUP(Table4[[#This Row],[Crop]],Input_Scenario,10,FALSE)*HLOOKUP(Table4[[#This Row],[Crop]],Input_Scenario,5,FALSE),"")</f>
        <v/>
      </c>
      <c r="I150" s="394" t="str">
        <f ca="1">IF(AND(ISNUMBER($D$12),ISNUMBER(Table4[[#This Row],[DDD90 (mg/kg bw/d)]])),$D$48/Table4[[#This Row],[DDD90 (mg/kg bw/d)]],"")</f>
        <v/>
      </c>
      <c r="J150" s="194" t="str">
        <f ca="1">IF(ISNUMBER(Table4[[#This Row],[TERmix]]),"Input provided","No input")</f>
        <v>No input</v>
      </c>
      <c r="K150" s="33"/>
      <c r="L150" s="37"/>
      <c r="P150" s="33"/>
    </row>
    <row r="151" spans="1:16" s="36" customFormat="1" ht="14.45" customHeight="1">
      <c r="A151" s="21"/>
      <c r="B151" s="195"/>
      <c r="C151" s="48" t="s">
        <v>178</v>
      </c>
      <c r="D151" s="48" t="s">
        <v>108</v>
      </c>
      <c r="E151" s="48" t="s">
        <v>105</v>
      </c>
      <c r="F151" s="50" t="s">
        <v>106</v>
      </c>
      <c r="G151" s="49">
        <v>26.8</v>
      </c>
      <c r="H151" s="393" t="str">
        <f>IF(AND(ISNUMBER(HLOOKUP(Table4[[#This Row],[Crop]],Input_Scenario,10,FALSE)),ISNUMBER(HLOOKUP(Table4[[#This Row],[Crop]],Input_Scenario,5,FALSE))),Table4[[#This Row],[SV90]]*HLOOKUP(Table4[[#This Row],[Crop]],Input_Scenario,10,FALSE)*HLOOKUP(Table4[[#This Row],[Crop]],Input_Scenario,5,FALSE),"")</f>
        <v/>
      </c>
      <c r="I151" s="394" t="str">
        <f ca="1">IF(AND(ISNUMBER($D$12),ISNUMBER(Table4[[#This Row],[DDD90 (mg/kg bw/d)]])),$D$48/Table4[[#This Row],[DDD90 (mg/kg bw/d)]],"")</f>
        <v/>
      </c>
      <c r="J151" s="194" t="str">
        <f ca="1">IF(ISNUMBER(Table4[[#This Row],[TERmix]]),"Input provided","No input")</f>
        <v>No input</v>
      </c>
      <c r="K151" s="33"/>
      <c r="L151" s="37"/>
      <c r="P151" s="33"/>
    </row>
    <row r="152" spans="1:16" s="36" customFormat="1" ht="14.45" customHeight="1">
      <c r="A152" s="21"/>
      <c r="B152" s="195"/>
      <c r="C152" s="48" t="s">
        <v>178</v>
      </c>
      <c r="D152" s="48" t="s">
        <v>110</v>
      </c>
      <c r="E152" s="48" t="s">
        <v>103</v>
      </c>
      <c r="F152" s="50" t="s">
        <v>104</v>
      </c>
      <c r="G152" s="49">
        <v>24</v>
      </c>
      <c r="H152" s="393" t="str">
        <f>IF(AND(ISNUMBER(HLOOKUP(Table4[[#This Row],[Crop]],Input_Scenario,10,FALSE)),ISNUMBER(HLOOKUP(Table4[[#This Row],[Crop]],Input_Scenario,5,FALSE))),Table4[[#This Row],[SV90]]*HLOOKUP(Table4[[#This Row],[Crop]],Input_Scenario,10,FALSE)*HLOOKUP(Table4[[#This Row],[Crop]],Input_Scenario,5,FALSE),"")</f>
        <v/>
      </c>
      <c r="I152" s="394" t="str">
        <f ca="1">IF(AND(ISNUMBER($D$12),ISNUMBER(Table4[[#This Row],[DDD90 (mg/kg bw/d)]])),$D$48/Table4[[#This Row],[DDD90 (mg/kg bw/d)]],"")</f>
        <v/>
      </c>
      <c r="J152" s="194" t="str">
        <f ca="1">IF(ISNUMBER(Table4[[#This Row],[TERmix]]),"Input provided","No input")</f>
        <v>No input</v>
      </c>
      <c r="K152" s="33"/>
      <c r="L152" s="37"/>
      <c r="P152" s="33"/>
    </row>
    <row r="153" spans="1:16" s="36" customFormat="1" ht="14.45" customHeight="1">
      <c r="A153" s="21"/>
      <c r="B153" s="195"/>
      <c r="C153" s="48" t="s">
        <v>178</v>
      </c>
      <c r="D153" s="48" t="s">
        <v>111</v>
      </c>
      <c r="E153" s="48" t="s">
        <v>105</v>
      </c>
      <c r="F153" s="50" t="s">
        <v>106</v>
      </c>
      <c r="G153" s="49">
        <v>25.2</v>
      </c>
      <c r="H153" s="393" t="str">
        <f>IF(AND(ISNUMBER(HLOOKUP(Table4[[#This Row],[Crop]],Input_Scenario,10,FALSE)),ISNUMBER(HLOOKUP(Table4[[#This Row],[Crop]],Input_Scenario,5,FALSE))),Table4[[#This Row],[SV90]]*HLOOKUP(Table4[[#This Row],[Crop]],Input_Scenario,10,FALSE)*HLOOKUP(Table4[[#This Row],[Crop]],Input_Scenario,5,FALSE),"")</f>
        <v/>
      </c>
      <c r="I153" s="394" t="str">
        <f ca="1">IF(AND(ISNUMBER($D$12),ISNUMBER(Table4[[#This Row],[DDD90 (mg/kg bw/d)]])),$D$48/Table4[[#This Row],[DDD90 (mg/kg bw/d)]],"")</f>
        <v/>
      </c>
      <c r="J153" s="194" t="str">
        <f ca="1">IF(ISNUMBER(Table4[[#This Row],[TERmix]]),"Input provided","No input")</f>
        <v>No input</v>
      </c>
      <c r="K153" s="33"/>
      <c r="L153" s="37"/>
      <c r="P153" s="33"/>
    </row>
    <row r="154" spans="1:16" s="36" customFormat="1" ht="14.45" customHeight="1">
      <c r="A154" s="21"/>
      <c r="B154" s="195"/>
      <c r="C154" s="48" t="s">
        <v>178</v>
      </c>
      <c r="D154" s="48" t="s">
        <v>109</v>
      </c>
      <c r="E154" s="48" t="s">
        <v>103</v>
      </c>
      <c r="F154" s="50" t="s">
        <v>104</v>
      </c>
      <c r="G154" s="49">
        <v>7.2</v>
      </c>
      <c r="H154" s="393" t="str">
        <f>IF(AND(ISNUMBER(HLOOKUP(Table4[[#This Row],[Crop]],Input_Scenario,10,FALSE)),ISNUMBER(HLOOKUP(Table4[[#This Row],[Crop]],Input_Scenario,5,FALSE))),Table4[[#This Row],[SV90]]*HLOOKUP(Table4[[#This Row],[Crop]],Input_Scenario,10,FALSE)*HLOOKUP(Table4[[#This Row],[Crop]],Input_Scenario,5,FALSE),"")</f>
        <v/>
      </c>
      <c r="I154" s="394" t="str">
        <f ca="1">IF(AND(ISNUMBER($D$12),ISNUMBER(Table4[[#This Row],[DDD90 (mg/kg bw/d)]])),$D$48/Table4[[#This Row],[DDD90 (mg/kg bw/d)]],"")</f>
        <v/>
      </c>
      <c r="J154" s="194" t="str">
        <f ca="1">IF(ISNUMBER(Table4[[#This Row],[TERmix]]),"Input provided","No input")</f>
        <v>No input</v>
      </c>
      <c r="K154" s="33"/>
      <c r="L154" s="37"/>
      <c r="P154" s="33"/>
    </row>
    <row r="155" spans="1:16" s="36" customFormat="1" ht="14.45" customHeight="1">
      <c r="A155" s="21"/>
      <c r="B155" s="195"/>
      <c r="C155" s="48" t="s">
        <v>179</v>
      </c>
      <c r="D155" s="48" t="s">
        <v>108</v>
      </c>
      <c r="E155" s="48" t="s">
        <v>105</v>
      </c>
      <c r="F155" s="50" t="s">
        <v>106</v>
      </c>
      <c r="G155" s="49">
        <v>26.8</v>
      </c>
      <c r="H155" s="393" t="str">
        <f>IF(AND(ISNUMBER(HLOOKUP(Table4[[#This Row],[Crop]],Input_Scenario,10,FALSE)),ISNUMBER(HLOOKUP(Table4[[#This Row],[Crop]],Input_Scenario,5,FALSE))),Table4[[#This Row],[SV90]]*HLOOKUP(Table4[[#This Row],[Crop]],Input_Scenario,10,FALSE)*HLOOKUP(Table4[[#This Row],[Crop]],Input_Scenario,5,FALSE),"")</f>
        <v/>
      </c>
      <c r="I155" s="394" t="str">
        <f ca="1">IF(AND(ISNUMBER($D$12),ISNUMBER(Table4[[#This Row],[DDD90 (mg/kg bw/d)]])),$D$48/Table4[[#This Row],[DDD90 (mg/kg bw/d)]],"")</f>
        <v/>
      </c>
      <c r="J155" s="194" t="str">
        <f ca="1">IF(ISNUMBER(Table4[[#This Row],[TERmix]]),"Input provided","No input")</f>
        <v>No input</v>
      </c>
      <c r="K155" s="33"/>
      <c r="L155" s="37"/>
      <c r="P155" s="33"/>
    </row>
    <row r="156" spans="1:16" s="36" customFormat="1" ht="14.45" customHeight="1">
      <c r="A156" s="21"/>
      <c r="B156" s="195"/>
      <c r="C156" s="48" t="s">
        <v>179</v>
      </c>
      <c r="D156" s="48" t="s">
        <v>149</v>
      </c>
      <c r="E156" s="48" t="s">
        <v>150</v>
      </c>
      <c r="F156" s="50" t="s">
        <v>151</v>
      </c>
      <c r="G156" s="49">
        <v>55.6</v>
      </c>
      <c r="H156" s="393" t="str">
        <f>IF(AND(ISNUMBER(HLOOKUP(Table4[[#This Row],[Crop]],Input_Scenario,10,FALSE)),ISNUMBER(HLOOKUP(Table4[[#This Row],[Crop]],Input_Scenario,5,FALSE))),Table4[[#This Row],[SV90]]*HLOOKUP(Table4[[#This Row],[Crop]],Input_Scenario,10,FALSE)*HLOOKUP(Table4[[#This Row],[Crop]],Input_Scenario,5,FALSE),"")</f>
        <v/>
      </c>
      <c r="I156" s="394" t="str">
        <f ca="1">IF(AND(ISNUMBER($D$12),ISNUMBER(Table4[[#This Row],[DDD90 (mg/kg bw/d)]])),$D$48/Table4[[#This Row],[DDD90 (mg/kg bw/d)]],"")</f>
        <v/>
      </c>
      <c r="J156" s="194" t="str">
        <f ca="1">IF(ISNUMBER(Table4[[#This Row],[TERmix]]),"Input provided","No input")</f>
        <v>No input</v>
      </c>
      <c r="K156" s="33"/>
      <c r="L156" s="37"/>
      <c r="P156" s="33"/>
    </row>
    <row r="157" spans="1:16" s="36" customFormat="1" ht="14.45" customHeight="1">
      <c r="A157" s="21"/>
      <c r="B157" s="195"/>
      <c r="C157" s="48" t="s">
        <v>179</v>
      </c>
      <c r="D157" s="48" t="s">
        <v>132</v>
      </c>
      <c r="E157" s="48" t="s">
        <v>101</v>
      </c>
      <c r="F157" s="50" t="s">
        <v>102</v>
      </c>
      <c r="G157" s="49">
        <v>24.7</v>
      </c>
      <c r="H157" s="393" t="str">
        <f>IF(AND(ISNUMBER(HLOOKUP(Table4[[#This Row],[Crop]],Input_Scenario,10,FALSE)),ISNUMBER(HLOOKUP(Table4[[#This Row],[Crop]],Input_Scenario,5,FALSE))),Table4[[#This Row],[SV90]]*HLOOKUP(Table4[[#This Row],[Crop]],Input_Scenario,10,FALSE)*HLOOKUP(Table4[[#This Row],[Crop]],Input_Scenario,5,FALSE),"")</f>
        <v/>
      </c>
      <c r="I157" s="394" t="str">
        <f ca="1">IF(AND(ISNUMBER($D$12),ISNUMBER(Table4[[#This Row],[DDD90 (mg/kg bw/d)]])),$D$48/Table4[[#This Row],[DDD90 (mg/kg bw/d)]],"")</f>
        <v/>
      </c>
      <c r="J157" s="194" t="str">
        <f ca="1">IF(ISNUMBER(Table4[[#This Row],[TERmix]]),"Input provided","No input")</f>
        <v>No input</v>
      </c>
      <c r="K157" s="33"/>
      <c r="L157" s="37"/>
      <c r="P157" s="33"/>
    </row>
    <row r="158" spans="1:16" s="36" customFormat="1" ht="14.45" customHeight="1">
      <c r="A158" s="21"/>
      <c r="B158" s="195"/>
      <c r="C158" s="48" t="s">
        <v>179</v>
      </c>
      <c r="D158" s="48" t="s">
        <v>132</v>
      </c>
      <c r="E158" s="48" t="s">
        <v>103</v>
      </c>
      <c r="F158" s="50" t="s">
        <v>104</v>
      </c>
      <c r="G158" s="49">
        <v>24</v>
      </c>
      <c r="H158" s="393" t="str">
        <f>IF(AND(ISNUMBER(HLOOKUP(Table4[[#This Row],[Crop]],Input_Scenario,10,FALSE)),ISNUMBER(HLOOKUP(Table4[[#This Row],[Crop]],Input_Scenario,5,FALSE))),Table4[[#This Row],[SV90]]*HLOOKUP(Table4[[#This Row],[Crop]],Input_Scenario,10,FALSE)*HLOOKUP(Table4[[#This Row],[Crop]],Input_Scenario,5,FALSE),"")</f>
        <v/>
      </c>
      <c r="I158" s="394" t="str">
        <f ca="1">IF(AND(ISNUMBER($D$12),ISNUMBER(Table4[[#This Row],[DDD90 (mg/kg bw/d)]])),$D$48/Table4[[#This Row],[DDD90 (mg/kg bw/d)]],"")</f>
        <v/>
      </c>
      <c r="J158" s="194" t="str">
        <f ca="1">IF(ISNUMBER(Table4[[#This Row],[TERmix]]),"Input provided","No input")</f>
        <v>No input</v>
      </c>
      <c r="K158" s="33"/>
      <c r="L158" s="37"/>
      <c r="P158" s="33"/>
    </row>
    <row r="159" spans="1:16" s="36" customFormat="1" ht="14.45" customHeight="1">
      <c r="A159" s="21"/>
      <c r="B159" s="195"/>
      <c r="C159" s="48" t="s">
        <v>179</v>
      </c>
      <c r="D159" s="48" t="s">
        <v>111</v>
      </c>
      <c r="E159" s="48" t="s">
        <v>105</v>
      </c>
      <c r="F159" s="50" t="s">
        <v>106</v>
      </c>
      <c r="G159" s="49">
        <v>25.2</v>
      </c>
      <c r="H159" s="393" t="str">
        <f>IF(AND(ISNUMBER(HLOOKUP(Table4[[#This Row],[Crop]],Input_Scenario,10,FALSE)),ISNUMBER(HLOOKUP(Table4[[#This Row],[Crop]],Input_Scenario,5,FALSE))),Table4[[#This Row],[SV90]]*HLOOKUP(Table4[[#This Row],[Crop]],Input_Scenario,10,FALSE)*HLOOKUP(Table4[[#This Row],[Crop]],Input_Scenario,5,FALSE),"")</f>
        <v/>
      </c>
      <c r="I159" s="394" t="str">
        <f ca="1">IF(AND(ISNUMBER($D$12),ISNUMBER(Table4[[#This Row],[DDD90 (mg/kg bw/d)]])),$D$48/Table4[[#This Row],[DDD90 (mg/kg bw/d)]],"")</f>
        <v/>
      </c>
      <c r="J159" s="194" t="str">
        <f ca="1">IF(ISNUMBER(Table4[[#This Row],[TERmix]]),"Input provided","No input")</f>
        <v>No input</v>
      </c>
      <c r="K159" s="33"/>
      <c r="L159" s="37"/>
      <c r="P159" s="33"/>
    </row>
    <row r="160" spans="1:16" s="36" customFormat="1" ht="14.45" customHeight="1">
      <c r="A160" s="21"/>
      <c r="B160" s="195"/>
      <c r="C160" s="48" t="s">
        <v>179</v>
      </c>
      <c r="D160" s="48" t="s">
        <v>134</v>
      </c>
      <c r="E160" s="48" t="s">
        <v>101</v>
      </c>
      <c r="F160" s="50" t="s">
        <v>102</v>
      </c>
      <c r="G160" s="49">
        <v>7.4</v>
      </c>
      <c r="H160" s="393" t="str">
        <f>IF(AND(ISNUMBER(HLOOKUP(Table4[[#This Row],[Crop]],Input_Scenario,10,FALSE)),ISNUMBER(HLOOKUP(Table4[[#This Row],[Crop]],Input_Scenario,5,FALSE))),Table4[[#This Row],[SV90]]*HLOOKUP(Table4[[#This Row],[Crop]],Input_Scenario,10,FALSE)*HLOOKUP(Table4[[#This Row],[Crop]],Input_Scenario,5,FALSE),"")</f>
        <v/>
      </c>
      <c r="I160" s="394" t="str">
        <f ca="1">IF(AND(ISNUMBER($D$12),ISNUMBER(Table4[[#This Row],[DDD90 (mg/kg bw/d)]])),$D$48/Table4[[#This Row],[DDD90 (mg/kg bw/d)]],"")</f>
        <v/>
      </c>
      <c r="J160" s="194" t="str">
        <f ca="1">IF(ISNUMBER(Table4[[#This Row],[TERmix]]),"Input provided","No input")</f>
        <v>No input</v>
      </c>
      <c r="K160" s="33"/>
      <c r="L160" s="37"/>
      <c r="P160" s="33"/>
    </row>
    <row r="161" spans="1:16" s="36" customFormat="1" ht="14.45" customHeight="1">
      <c r="A161" s="21"/>
      <c r="B161" s="195"/>
      <c r="C161" s="48" t="s">
        <v>179</v>
      </c>
      <c r="D161" s="48" t="s">
        <v>134</v>
      </c>
      <c r="E161" s="48" t="s">
        <v>103</v>
      </c>
      <c r="F161" s="50" t="s">
        <v>104</v>
      </c>
      <c r="G161" s="49">
        <v>7.2</v>
      </c>
      <c r="H161" s="393" t="str">
        <f>IF(AND(ISNUMBER(HLOOKUP(Table4[[#This Row],[Crop]],Input_Scenario,10,FALSE)),ISNUMBER(HLOOKUP(Table4[[#This Row],[Crop]],Input_Scenario,5,FALSE))),Table4[[#This Row],[SV90]]*HLOOKUP(Table4[[#This Row],[Crop]],Input_Scenario,10,FALSE)*HLOOKUP(Table4[[#This Row],[Crop]],Input_Scenario,5,FALSE),"")</f>
        <v/>
      </c>
      <c r="I161" s="394" t="str">
        <f ca="1">IF(AND(ISNUMBER($D$12),ISNUMBER(Table4[[#This Row],[DDD90 (mg/kg bw/d)]])),$D$48/Table4[[#This Row],[DDD90 (mg/kg bw/d)]],"")</f>
        <v/>
      </c>
      <c r="J161" s="194" t="str">
        <f ca="1">IF(ISNUMBER(Table4[[#This Row],[TERmix]]),"Input provided","No input")</f>
        <v>No input</v>
      </c>
      <c r="K161" s="33"/>
      <c r="L161" s="37"/>
      <c r="P161" s="33"/>
    </row>
    <row r="162" spans="1:16" s="36" customFormat="1" ht="14.45" customHeight="1">
      <c r="A162" s="21"/>
      <c r="B162" s="195"/>
      <c r="C162" s="48" t="s">
        <v>180</v>
      </c>
      <c r="D162" s="48" t="s">
        <v>108</v>
      </c>
      <c r="E162" s="48" t="s">
        <v>105</v>
      </c>
      <c r="F162" s="50" t="s">
        <v>106</v>
      </c>
      <c r="G162" s="49">
        <v>26.8</v>
      </c>
      <c r="H162" s="393" t="str">
        <f>IF(AND(ISNUMBER(HLOOKUP(Table4[[#This Row],[Crop]],Input_Scenario,10,FALSE)),ISNUMBER(HLOOKUP(Table4[[#This Row],[Crop]],Input_Scenario,5,FALSE))),Table4[[#This Row],[SV90]]*HLOOKUP(Table4[[#This Row],[Crop]],Input_Scenario,10,FALSE)*HLOOKUP(Table4[[#This Row],[Crop]],Input_Scenario,5,FALSE),"")</f>
        <v/>
      </c>
      <c r="I162" s="394" t="str">
        <f ca="1">IF(AND(ISNUMBER($D$12),ISNUMBER(Table4[[#This Row],[DDD90 (mg/kg bw/d)]])),$D$48/Table4[[#This Row],[DDD90 (mg/kg bw/d)]],"")</f>
        <v/>
      </c>
      <c r="J162" s="194" t="str">
        <f ca="1">IF(ISNUMBER(Table4[[#This Row],[TERmix]]),"Input provided","No input")</f>
        <v>No input</v>
      </c>
      <c r="K162" s="33"/>
      <c r="L162" s="37"/>
      <c r="P162" s="33"/>
    </row>
    <row r="163" spans="1:16" s="36" customFormat="1" ht="14.45" customHeight="1">
      <c r="A163" s="21"/>
      <c r="B163" s="195"/>
      <c r="C163" s="48" t="s">
        <v>180</v>
      </c>
      <c r="D163" s="48" t="s">
        <v>110</v>
      </c>
      <c r="E163" s="48" t="s">
        <v>101</v>
      </c>
      <c r="F163" s="50" t="s">
        <v>102</v>
      </c>
      <c r="G163" s="49">
        <v>24.7</v>
      </c>
      <c r="H163" s="393" t="str">
        <f>IF(AND(ISNUMBER(HLOOKUP(Table4[[#This Row],[Crop]],Input_Scenario,10,FALSE)),ISNUMBER(HLOOKUP(Table4[[#This Row],[Crop]],Input_Scenario,5,FALSE))),Table4[[#This Row],[SV90]]*HLOOKUP(Table4[[#This Row],[Crop]],Input_Scenario,10,FALSE)*HLOOKUP(Table4[[#This Row],[Crop]],Input_Scenario,5,FALSE),"")</f>
        <v/>
      </c>
      <c r="I163" s="394" t="str">
        <f ca="1">IF(AND(ISNUMBER($D$12),ISNUMBER(Table4[[#This Row],[DDD90 (mg/kg bw/d)]])),$D$48/Table4[[#This Row],[DDD90 (mg/kg bw/d)]],"")</f>
        <v/>
      </c>
      <c r="J163" s="194" t="str">
        <f ca="1">IF(ISNUMBER(Table4[[#This Row],[TERmix]]),"Input provided","No input")</f>
        <v>No input</v>
      </c>
      <c r="K163" s="33"/>
      <c r="L163" s="37"/>
      <c r="P163" s="33"/>
    </row>
    <row r="164" spans="1:16" s="36" customFormat="1" ht="14.45" customHeight="1">
      <c r="A164" s="21"/>
      <c r="B164" s="195"/>
      <c r="C164" s="48" t="s">
        <v>180</v>
      </c>
      <c r="D164" s="48" t="s">
        <v>110</v>
      </c>
      <c r="E164" s="48" t="s">
        <v>103</v>
      </c>
      <c r="F164" s="50" t="s">
        <v>104</v>
      </c>
      <c r="G164" s="49">
        <v>24</v>
      </c>
      <c r="H164" s="393" t="str">
        <f>IF(AND(ISNUMBER(HLOOKUP(Table4[[#This Row],[Crop]],Input_Scenario,10,FALSE)),ISNUMBER(HLOOKUP(Table4[[#This Row],[Crop]],Input_Scenario,5,FALSE))),Table4[[#This Row],[SV90]]*HLOOKUP(Table4[[#This Row],[Crop]],Input_Scenario,10,FALSE)*HLOOKUP(Table4[[#This Row],[Crop]],Input_Scenario,5,FALSE),"")</f>
        <v/>
      </c>
      <c r="I164" s="394" t="str">
        <f ca="1">IF(AND(ISNUMBER($D$12),ISNUMBER(Table4[[#This Row],[DDD90 (mg/kg bw/d)]])),$D$48/Table4[[#This Row],[DDD90 (mg/kg bw/d)]],"")</f>
        <v/>
      </c>
      <c r="J164" s="194" t="str">
        <f ca="1">IF(ISNUMBER(Table4[[#This Row],[TERmix]]),"Input provided","No input")</f>
        <v>No input</v>
      </c>
      <c r="K164" s="33"/>
      <c r="L164" s="37"/>
      <c r="P164" s="33"/>
    </row>
    <row r="165" spans="1:16" s="36" customFormat="1" ht="14.45" customHeight="1">
      <c r="A165" s="21"/>
      <c r="B165" s="195"/>
      <c r="C165" s="48" t="s">
        <v>180</v>
      </c>
      <c r="D165" s="48" t="s">
        <v>111</v>
      </c>
      <c r="E165" s="48" t="s">
        <v>105</v>
      </c>
      <c r="F165" s="50" t="s">
        <v>106</v>
      </c>
      <c r="G165" s="49">
        <v>25.2</v>
      </c>
      <c r="H165" s="393" t="str">
        <f>IF(AND(ISNUMBER(HLOOKUP(Table4[[#This Row],[Crop]],Input_Scenario,10,FALSE)),ISNUMBER(HLOOKUP(Table4[[#This Row],[Crop]],Input_Scenario,5,FALSE))),Table4[[#This Row],[SV90]]*HLOOKUP(Table4[[#This Row],[Crop]],Input_Scenario,10,FALSE)*HLOOKUP(Table4[[#This Row],[Crop]],Input_Scenario,5,FALSE),"")</f>
        <v/>
      </c>
      <c r="I165" s="394" t="str">
        <f ca="1">IF(AND(ISNUMBER($D$12),ISNUMBER(Table4[[#This Row],[DDD90 (mg/kg bw/d)]])),$D$48/Table4[[#This Row],[DDD90 (mg/kg bw/d)]],"")</f>
        <v/>
      </c>
      <c r="J165" s="194" t="str">
        <f ca="1">IF(ISNUMBER(Table4[[#This Row],[TERmix]]),"Input provided","No input")</f>
        <v>No input</v>
      </c>
      <c r="K165" s="33"/>
      <c r="L165" s="37"/>
      <c r="P165" s="33"/>
    </row>
    <row r="166" spans="1:16" s="36" customFormat="1" ht="14.45" customHeight="1">
      <c r="A166" s="21"/>
      <c r="B166" s="195"/>
      <c r="C166" s="48" t="s">
        <v>180</v>
      </c>
      <c r="D166" s="48" t="s">
        <v>109</v>
      </c>
      <c r="E166" s="48" t="s">
        <v>101</v>
      </c>
      <c r="F166" s="50" t="s">
        <v>102</v>
      </c>
      <c r="G166" s="49">
        <v>7.4</v>
      </c>
      <c r="H166" s="393" t="str">
        <f>IF(AND(ISNUMBER(HLOOKUP(Table4[[#This Row],[Crop]],Input_Scenario,10,FALSE)),ISNUMBER(HLOOKUP(Table4[[#This Row],[Crop]],Input_Scenario,5,FALSE))),Table4[[#This Row],[SV90]]*HLOOKUP(Table4[[#This Row],[Crop]],Input_Scenario,10,FALSE)*HLOOKUP(Table4[[#This Row],[Crop]],Input_Scenario,5,FALSE),"")</f>
        <v/>
      </c>
      <c r="I166" s="394" t="str">
        <f ca="1">IF(AND(ISNUMBER($D$12),ISNUMBER(Table4[[#This Row],[DDD90 (mg/kg bw/d)]])),$D$48/Table4[[#This Row],[DDD90 (mg/kg bw/d)]],"")</f>
        <v/>
      </c>
      <c r="J166" s="194" t="str">
        <f ca="1">IF(ISNUMBER(Table4[[#This Row],[TERmix]]),"Input provided","No input")</f>
        <v>No input</v>
      </c>
      <c r="K166" s="33"/>
      <c r="L166" s="37"/>
      <c r="P166" s="33"/>
    </row>
    <row r="167" spans="1:16" s="36" customFormat="1" ht="14.45" customHeight="1">
      <c r="A167" s="21"/>
      <c r="B167" s="195"/>
      <c r="C167" s="48" t="s">
        <v>180</v>
      </c>
      <c r="D167" s="48" t="s">
        <v>109</v>
      </c>
      <c r="E167" s="48" t="s">
        <v>103</v>
      </c>
      <c r="F167" s="50" t="s">
        <v>104</v>
      </c>
      <c r="G167" s="49">
        <v>7.2</v>
      </c>
      <c r="H167" s="393" t="str">
        <f>IF(AND(ISNUMBER(HLOOKUP(Table4[[#This Row],[Crop]],Input_Scenario,10,FALSE)),ISNUMBER(HLOOKUP(Table4[[#This Row],[Crop]],Input_Scenario,5,FALSE))),Table4[[#This Row],[SV90]]*HLOOKUP(Table4[[#This Row],[Crop]],Input_Scenario,10,FALSE)*HLOOKUP(Table4[[#This Row],[Crop]],Input_Scenario,5,FALSE),"")</f>
        <v/>
      </c>
      <c r="I167" s="394" t="str">
        <f ca="1">IF(AND(ISNUMBER($D$12),ISNUMBER(Table4[[#This Row],[DDD90 (mg/kg bw/d)]])),$D$48/Table4[[#This Row],[DDD90 (mg/kg bw/d)]],"")</f>
        <v/>
      </c>
      <c r="J167" s="194" t="str">
        <f ca="1">IF(ISNUMBER(Table4[[#This Row],[TERmix]]),"Input provided","No input")</f>
        <v>No input</v>
      </c>
      <c r="K167" s="33"/>
      <c r="L167" s="37"/>
      <c r="P167" s="33"/>
    </row>
    <row r="168" spans="1:16" s="36" customFormat="1" ht="14.45" customHeight="1">
      <c r="A168" s="21"/>
      <c r="B168" s="195"/>
      <c r="C168" s="48" t="s">
        <v>181</v>
      </c>
      <c r="D168" s="48" t="s">
        <v>108</v>
      </c>
      <c r="E168" s="48" t="s">
        <v>105</v>
      </c>
      <c r="F168" s="50" t="s">
        <v>106</v>
      </c>
      <c r="G168" s="49">
        <v>26.8</v>
      </c>
      <c r="H168" s="393" t="str">
        <f>IF(AND(ISNUMBER(HLOOKUP(Table4[[#This Row],[Crop]],Input_Scenario,10,FALSE)),ISNUMBER(HLOOKUP(Table4[[#This Row],[Crop]],Input_Scenario,5,FALSE))),Table4[[#This Row],[SV90]]*HLOOKUP(Table4[[#This Row],[Crop]],Input_Scenario,10,FALSE)*HLOOKUP(Table4[[#This Row],[Crop]],Input_Scenario,5,FALSE),"")</f>
        <v/>
      </c>
      <c r="I168" s="394" t="str">
        <f ca="1">IF(AND(ISNUMBER($D$12),ISNUMBER(Table4[[#This Row],[DDD90 (mg/kg bw/d)]])),$D$48/Table4[[#This Row],[DDD90 (mg/kg bw/d)]],"")</f>
        <v/>
      </c>
      <c r="J168" s="194" t="str">
        <f ca="1">IF(ISNUMBER(Table4[[#This Row],[TERmix]]),"Input provided","No input")</f>
        <v>No input</v>
      </c>
      <c r="K168" s="33"/>
      <c r="L168" s="37"/>
      <c r="P168" s="33"/>
    </row>
    <row r="169" spans="1:16" s="36" customFormat="1" ht="14.45" customHeight="1">
      <c r="A169" s="21"/>
      <c r="B169" s="195"/>
      <c r="C169" s="48" t="s">
        <v>181</v>
      </c>
      <c r="D169" s="48" t="s">
        <v>110</v>
      </c>
      <c r="E169" s="48" t="s">
        <v>103</v>
      </c>
      <c r="F169" s="50" t="s">
        <v>104</v>
      </c>
      <c r="G169" s="49">
        <v>24</v>
      </c>
      <c r="H169" s="393" t="str">
        <f>IF(AND(ISNUMBER(HLOOKUP(Table4[[#This Row],[Crop]],Input_Scenario,10,FALSE)),ISNUMBER(HLOOKUP(Table4[[#This Row],[Crop]],Input_Scenario,5,FALSE))),Table4[[#This Row],[SV90]]*HLOOKUP(Table4[[#This Row],[Crop]],Input_Scenario,10,FALSE)*HLOOKUP(Table4[[#This Row],[Crop]],Input_Scenario,5,FALSE),"")</f>
        <v/>
      </c>
      <c r="I169" s="394" t="str">
        <f ca="1">IF(AND(ISNUMBER($D$12),ISNUMBER(Table4[[#This Row],[DDD90 (mg/kg bw/d)]])),$D$48/Table4[[#This Row],[DDD90 (mg/kg bw/d)]],"")</f>
        <v/>
      </c>
      <c r="J169" s="194" t="str">
        <f ca="1">IF(ISNUMBER(Table4[[#This Row],[TERmix]]),"Input provided","No input")</f>
        <v>No input</v>
      </c>
      <c r="K169" s="33"/>
      <c r="L169" s="37"/>
      <c r="P169" s="33"/>
    </row>
    <row r="170" spans="1:16" s="36" customFormat="1" ht="14.45" customHeight="1">
      <c r="A170" s="21"/>
      <c r="B170" s="195"/>
      <c r="C170" s="48" t="s">
        <v>181</v>
      </c>
      <c r="D170" s="48" t="s">
        <v>111</v>
      </c>
      <c r="E170" s="48" t="s">
        <v>105</v>
      </c>
      <c r="F170" s="50" t="s">
        <v>106</v>
      </c>
      <c r="G170" s="49">
        <v>25.2</v>
      </c>
      <c r="H170" s="393" t="str">
        <f>IF(AND(ISNUMBER(HLOOKUP(Table4[[#This Row],[Crop]],Input_Scenario,10,FALSE)),ISNUMBER(HLOOKUP(Table4[[#This Row],[Crop]],Input_Scenario,5,FALSE))),Table4[[#This Row],[SV90]]*HLOOKUP(Table4[[#This Row],[Crop]],Input_Scenario,10,FALSE)*HLOOKUP(Table4[[#This Row],[Crop]],Input_Scenario,5,FALSE),"")</f>
        <v/>
      </c>
      <c r="I170" s="394" t="str">
        <f ca="1">IF(AND(ISNUMBER($D$12),ISNUMBER(Table4[[#This Row],[DDD90 (mg/kg bw/d)]])),$D$48/Table4[[#This Row],[DDD90 (mg/kg bw/d)]],"")</f>
        <v/>
      </c>
      <c r="J170" s="194" t="str">
        <f ca="1">IF(ISNUMBER(Table4[[#This Row],[TERmix]]),"Input provided","No input")</f>
        <v>No input</v>
      </c>
      <c r="K170" s="33"/>
      <c r="L170" s="37"/>
      <c r="P170" s="33"/>
    </row>
    <row r="171" spans="1:16" s="36" customFormat="1" ht="14.45" customHeight="1">
      <c r="A171" s="21"/>
      <c r="B171" s="195"/>
      <c r="C171" s="48" t="s">
        <v>181</v>
      </c>
      <c r="D171" s="48" t="s">
        <v>109</v>
      </c>
      <c r="E171" s="48" t="s">
        <v>103</v>
      </c>
      <c r="F171" s="50" t="s">
        <v>104</v>
      </c>
      <c r="G171" s="49">
        <v>9.6</v>
      </c>
      <c r="H171" s="393" t="str">
        <f>IF(AND(ISNUMBER(HLOOKUP(Table4[[#This Row],[Crop]],Input_Scenario,10,FALSE)),ISNUMBER(HLOOKUP(Table4[[#This Row],[Crop]],Input_Scenario,5,FALSE))),Table4[[#This Row],[SV90]]*HLOOKUP(Table4[[#This Row],[Crop]],Input_Scenario,10,FALSE)*HLOOKUP(Table4[[#This Row],[Crop]],Input_Scenario,5,FALSE),"")</f>
        <v/>
      </c>
      <c r="I171" s="394" t="str">
        <f ca="1">IF(AND(ISNUMBER($D$12),ISNUMBER(Table4[[#This Row],[DDD90 (mg/kg bw/d)]])),$D$48/Table4[[#This Row],[DDD90 (mg/kg bw/d)]],"")</f>
        <v/>
      </c>
      <c r="J171" s="194" t="str">
        <f ca="1">IF(ISNUMBER(Table4[[#This Row],[TERmix]]),"Input provided","No input")</f>
        <v>No input</v>
      </c>
      <c r="K171" s="33"/>
      <c r="L171" s="37"/>
      <c r="P171" s="33"/>
    </row>
    <row r="172" spans="1:16" s="36" customFormat="1" ht="14.45" customHeight="1">
      <c r="A172" s="21"/>
      <c r="B172" s="195"/>
      <c r="C172" s="48" t="s">
        <v>181</v>
      </c>
      <c r="D172" s="48" t="s">
        <v>182</v>
      </c>
      <c r="E172" s="48" t="s">
        <v>114</v>
      </c>
      <c r="F172" s="50" t="s">
        <v>138</v>
      </c>
      <c r="G172" s="49">
        <v>27</v>
      </c>
      <c r="H172" s="393" t="str">
        <f>IF(AND(ISNUMBER(HLOOKUP(Table4[[#This Row],[Crop]],Input_Scenario,10,FALSE)),ISNUMBER(HLOOKUP(Table4[[#This Row],[Crop]],Input_Scenario,5,FALSE))),Table4[[#This Row],[SV90]]*HLOOKUP(Table4[[#This Row],[Crop]],Input_Scenario,10,FALSE)*HLOOKUP(Table4[[#This Row],[Crop]],Input_Scenario,5,FALSE),"")</f>
        <v/>
      </c>
      <c r="I172" s="394" t="str">
        <f ca="1">IF(AND(ISNUMBER($D$12),ISNUMBER(Table4[[#This Row],[DDD90 (mg/kg bw/d)]])),$D$48/Table4[[#This Row],[DDD90 (mg/kg bw/d)]],"")</f>
        <v/>
      </c>
      <c r="J172" s="194" t="str">
        <f ca="1">IF(ISNUMBER(Table4[[#This Row],[TERmix]]),"Input provided","No input")</f>
        <v>No input</v>
      </c>
      <c r="K172" s="33"/>
      <c r="L172" s="37"/>
      <c r="P172" s="33"/>
    </row>
    <row r="173" spans="1:16" s="36" customFormat="1" ht="14.45" customHeight="1">
      <c r="A173" s="21"/>
      <c r="B173" s="195"/>
      <c r="C173" s="48" t="s">
        <v>183</v>
      </c>
      <c r="D173" s="48" t="s">
        <v>108</v>
      </c>
      <c r="E173" s="48" t="s">
        <v>105</v>
      </c>
      <c r="F173" s="50" t="s">
        <v>106</v>
      </c>
      <c r="G173" s="49">
        <v>10.9</v>
      </c>
      <c r="H173" s="393" t="str">
        <f>IF(AND(ISNUMBER(HLOOKUP(Table4[[#This Row],[Crop]],Input_Scenario,10,FALSE)),ISNUMBER(HLOOKUP(Table4[[#This Row],[Crop]],Input_Scenario,5,FALSE))),Table4[[#This Row],[SV90]]*HLOOKUP(Table4[[#This Row],[Crop]],Input_Scenario,10,FALSE)*HLOOKUP(Table4[[#This Row],[Crop]],Input_Scenario,5,FALSE),"")</f>
        <v/>
      </c>
      <c r="I173" s="394" t="str">
        <f ca="1">IF(AND(ISNUMBER($D$12),ISNUMBER(Table4[[#This Row],[DDD90 (mg/kg bw/d)]])),$D$48/Table4[[#This Row],[DDD90 (mg/kg bw/d)]],"")</f>
        <v/>
      </c>
      <c r="J173" s="194" t="str">
        <f ca="1">IF(ISNUMBER(Table4[[#This Row],[TERmix]]),"Input provided","No input")</f>
        <v>No input</v>
      </c>
      <c r="K173" s="33"/>
      <c r="L173" s="37"/>
      <c r="P173" s="33"/>
    </row>
    <row r="174" spans="1:16" s="36" customFormat="1" ht="14.45" customHeight="1">
      <c r="A174" s="21"/>
      <c r="B174" s="195"/>
      <c r="C174" s="48" t="s">
        <v>183</v>
      </c>
      <c r="D174" s="48" t="s">
        <v>108</v>
      </c>
      <c r="E174" s="48" t="s">
        <v>105</v>
      </c>
      <c r="F174" s="50" t="s">
        <v>106</v>
      </c>
      <c r="G174" s="49">
        <v>10.9</v>
      </c>
      <c r="H174" s="393" t="str">
        <f>IF(AND(ISNUMBER(HLOOKUP(Table4[[#This Row],[Crop]],Input_Scenario,10,FALSE)),ISNUMBER(HLOOKUP(Table4[[#This Row],[Crop]],Input_Scenario,5,FALSE))),Table4[[#This Row],[SV90]]*HLOOKUP(Table4[[#This Row],[Crop]],Input_Scenario,10,FALSE)*HLOOKUP(Table4[[#This Row],[Crop]],Input_Scenario,5,FALSE),"")</f>
        <v/>
      </c>
      <c r="I174" s="394" t="str">
        <f ca="1">IF(AND(ISNUMBER($D$12),ISNUMBER(Table4[[#This Row],[DDD90 (mg/kg bw/d)]])),$D$48/Table4[[#This Row],[DDD90 (mg/kg bw/d)]],"")</f>
        <v/>
      </c>
      <c r="J174" s="194" t="str">
        <f ca="1">IF(ISNUMBER(Table4[[#This Row],[TERmix]]),"Input provided","No input")</f>
        <v>No input</v>
      </c>
      <c r="K174" s="33"/>
      <c r="L174" s="37"/>
      <c r="P174" s="33"/>
    </row>
    <row r="175" spans="1:16" s="36" customFormat="1" ht="14.45" customHeight="1">
      <c r="A175" s="21"/>
      <c r="B175" s="195"/>
      <c r="C175" s="48" t="s">
        <v>183</v>
      </c>
      <c r="D175" s="48" t="s">
        <v>184</v>
      </c>
      <c r="E175" s="48" t="s">
        <v>103</v>
      </c>
      <c r="F175" s="50" t="s">
        <v>104</v>
      </c>
      <c r="G175" s="49">
        <v>24</v>
      </c>
      <c r="H175" s="393" t="str">
        <f>IF(AND(ISNUMBER(HLOOKUP(Table4[[#This Row],[Crop]],Input_Scenario,10,FALSE)),ISNUMBER(HLOOKUP(Table4[[#This Row],[Crop]],Input_Scenario,5,FALSE))),Table4[[#This Row],[SV90]]*HLOOKUP(Table4[[#This Row],[Crop]],Input_Scenario,10,FALSE)*HLOOKUP(Table4[[#This Row],[Crop]],Input_Scenario,5,FALSE),"")</f>
        <v/>
      </c>
      <c r="I175" s="394" t="str">
        <f ca="1">IF(AND(ISNUMBER($D$12),ISNUMBER(Table4[[#This Row],[DDD90 (mg/kg bw/d)]])),$D$48/Table4[[#This Row],[DDD90 (mg/kg bw/d)]],"")</f>
        <v/>
      </c>
      <c r="J175" s="194" t="str">
        <f ca="1">IF(ISNUMBER(Table4[[#This Row],[TERmix]]),"Input provided","No input")</f>
        <v>No input</v>
      </c>
      <c r="K175" s="33"/>
      <c r="L175" s="37"/>
      <c r="P175" s="33"/>
    </row>
    <row r="176" spans="1:16" s="36" customFormat="1" ht="14.45" customHeight="1">
      <c r="A176" s="21"/>
      <c r="B176" s="195"/>
      <c r="C176" s="48" t="s">
        <v>183</v>
      </c>
      <c r="D176" s="48" t="s">
        <v>185</v>
      </c>
      <c r="E176" s="48" t="s">
        <v>105</v>
      </c>
      <c r="F176" s="50" t="s">
        <v>106</v>
      </c>
      <c r="G176" s="49">
        <v>7.7</v>
      </c>
      <c r="H176" s="393" t="str">
        <f>IF(AND(ISNUMBER(HLOOKUP(Table4[[#This Row],[Crop]],Input_Scenario,10,FALSE)),ISNUMBER(HLOOKUP(Table4[[#This Row],[Crop]],Input_Scenario,5,FALSE))),Table4[[#This Row],[SV90]]*HLOOKUP(Table4[[#This Row],[Crop]],Input_Scenario,10,FALSE)*HLOOKUP(Table4[[#This Row],[Crop]],Input_Scenario,5,FALSE),"")</f>
        <v/>
      </c>
      <c r="I176" s="394" t="str">
        <f ca="1">IF(AND(ISNUMBER($D$12),ISNUMBER(Table4[[#This Row],[DDD90 (mg/kg bw/d)]])),$D$48/Table4[[#This Row],[DDD90 (mg/kg bw/d)]],"")</f>
        <v/>
      </c>
      <c r="J176" s="194" t="str">
        <f ca="1">IF(ISNUMBER(Table4[[#This Row],[TERmix]]),"Input provided","No input")</f>
        <v>No input</v>
      </c>
      <c r="K176" s="33"/>
      <c r="L176" s="37"/>
      <c r="P176" s="33"/>
    </row>
    <row r="177" spans="1:16" s="36" customFormat="1" ht="14.45" customHeight="1">
      <c r="A177" s="21"/>
      <c r="B177" s="195"/>
      <c r="C177" s="48" t="s">
        <v>183</v>
      </c>
      <c r="D177" s="48" t="s">
        <v>185</v>
      </c>
      <c r="E177" s="48" t="s">
        <v>105</v>
      </c>
      <c r="F177" s="50" t="s">
        <v>106</v>
      </c>
      <c r="G177" s="49">
        <v>25.2</v>
      </c>
      <c r="H177" s="393" t="str">
        <f>IF(AND(ISNUMBER(HLOOKUP(Table4[[#This Row],[Crop]],Input_Scenario,10,FALSE)),ISNUMBER(HLOOKUP(Table4[[#This Row],[Crop]],Input_Scenario,5,FALSE))),Table4[[#This Row],[SV90]]*HLOOKUP(Table4[[#This Row],[Crop]],Input_Scenario,10,FALSE)*HLOOKUP(Table4[[#This Row],[Crop]],Input_Scenario,5,FALSE),"")</f>
        <v/>
      </c>
      <c r="I177" s="394" t="str">
        <f ca="1">IF(AND(ISNUMBER($D$12),ISNUMBER(Table4[[#This Row],[DDD90 (mg/kg bw/d)]])),$D$48/Table4[[#This Row],[DDD90 (mg/kg bw/d)]],"")</f>
        <v/>
      </c>
      <c r="J177" s="194" t="str">
        <f ca="1">IF(ISNUMBER(Table4[[#This Row],[TERmix]]),"Input provided","No input")</f>
        <v>No input</v>
      </c>
      <c r="K177" s="33"/>
      <c r="L177" s="37"/>
      <c r="P177" s="33"/>
    </row>
    <row r="178" spans="1:16" s="36" customFormat="1" ht="14.45" customHeight="1">
      <c r="A178" s="21"/>
      <c r="B178" s="195"/>
      <c r="C178" s="48" t="s">
        <v>183</v>
      </c>
      <c r="D178" s="48" t="s">
        <v>186</v>
      </c>
      <c r="E178" s="48" t="s">
        <v>101</v>
      </c>
      <c r="F178" s="50" t="s">
        <v>102</v>
      </c>
      <c r="G178" s="49">
        <v>24.7</v>
      </c>
      <c r="H178" s="393" t="str">
        <f>IF(AND(ISNUMBER(HLOOKUP(Table4[[#This Row],[Crop]],Input_Scenario,10,FALSE)),ISNUMBER(HLOOKUP(Table4[[#This Row],[Crop]],Input_Scenario,5,FALSE))),Table4[[#This Row],[SV90]]*HLOOKUP(Table4[[#This Row],[Crop]],Input_Scenario,10,FALSE)*HLOOKUP(Table4[[#This Row],[Crop]],Input_Scenario,5,FALSE),"")</f>
        <v/>
      </c>
      <c r="I178" s="394" t="str">
        <f ca="1">IF(AND(ISNUMBER($D$12),ISNUMBER(Table4[[#This Row],[DDD90 (mg/kg bw/d)]])),$D$48/Table4[[#This Row],[DDD90 (mg/kg bw/d)]],"")</f>
        <v/>
      </c>
      <c r="J178" s="194" t="str">
        <f ca="1">IF(ISNUMBER(Table4[[#This Row],[TERmix]]),"Input provided","No input")</f>
        <v>No input</v>
      </c>
      <c r="K178" s="33"/>
      <c r="L178" s="37"/>
      <c r="P178" s="33"/>
    </row>
    <row r="179" spans="1:16" s="36" customFormat="1" ht="14.45" customHeight="1">
      <c r="A179" s="21"/>
      <c r="B179" s="195"/>
      <c r="C179" s="48" t="s">
        <v>187</v>
      </c>
      <c r="D179" s="48" t="s">
        <v>188</v>
      </c>
      <c r="E179" s="48" t="s">
        <v>103</v>
      </c>
      <c r="F179" s="50" t="s">
        <v>104</v>
      </c>
      <c r="G179" s="49">
        <v>24</v>
      </c>
      <c r="H179" s="393" t="str">
        <f>IF(AND(ISNUMBER(HLOOKUP(Table4[[#This Row],[Crop]],Input_Scenario,10,FALSE)),ISNUMBER(HLOOKUP(Table4[[#This Row],[Crop]],Input_Scenario,5,FALSE))),Table4[[#This Row],[SV90]]*HLOOKUP(Table4[[#This Row],[Crop]],Input_Scenario,10,FALSE)*HLOOKUP(Table4[[#This Row],[Crop]],Input_Scenario,5,FALSE),"")</f>
        <v/>
      </c>
      <c r="I179" s="394" t="str">
        <f ca="1">IF(AND(ISNUMBER($D$12),ISNUMBER(Table4[[#This Row],[DDD90 (mg/kg bw/d)]])),$D$48/Table4[[#This Row],[DDD90 (mg/kg bw/d)]],"")</f>
        <v/>
      </c>
      <c r="J179" s="194" t="str">
        <f ca="1">IF(ISNUMBER(Table4[[#This Row],[TERmix]]),"Input provided","No input")</f>
        <v>No input</v>
      </c>
      <c r="K179" s="33"/>
      <c r="L179" s="37"/>
      <c r="P179" s="33"/>
    </row>
    <row r="180" spans="1:16" s="36" customFormat="1" ht="14.45" customHeight="1">
      <c r="A180" s="21"/>
      <c r="B180" s="195"/>
      <c r="C180" s="48" t="s">
        <v>187</v>
      </c>
      <c r="D180" s="48" t="s">
        <v>188</v>
      </c>
      <c r="E180" s="48" t="s">
        <v>105</v>
      </c>
      <c r="F180" s="50" t="s">
        <v>106</v>
      </c>
      <c r="G180" s="49">
        <v>26.8</v>
      </c>
      <c r="H180" s="393" t="str">
        <f>IF(AND(ISNUMBER(HLOOKUP(Table4[[#This Row],[Crop]],Input_Scenario,10,FALSE)),ISNUMBER(HLOOKUP(Table4[[#This Row],[Crop]],Input_Scenario,5,FALSE))),Table4[[#This Row],[SV90]]*HLOOKUP(Table4[[#This Row],[Crop]],Input_Scenario,10,FALSE)*HLOOKUP(Table4[[#This Row],[Crop]],Input_Scenario,5,FALSE),"")</f>
        <v/>
      </c>
      <c r="I180" s="394" t="str">
        <f ca="1">IF(AND(ISNUMBER($D$12),ISNUMBER(Table4[[#This Row],[DDD90 (mg/kg bw/d)]])),$D$48/Table4[[#This Row],[DDD90 (mg/kg bw/d)]],"")</f>
        <v/>
      </c>
      <c r="J180" s="194" t="str">
        <f ca="1">IF(ISNUMBER(Table4[[#This Row],[TERmix]]),"Input provided","No input")</f>
        <v>No input</v>
      </c>
      <c r="K180" s="33"/>
      <c r="L180" s="37"/>
      <c r="P180" s="33"/>
    </row>
    <row r="181" spans="1:16" s="36" customFormat="1" ht="14.45" customHeight="1">
      <c r="A181" s="21"/>
      <c r="B181" s="195"/>
      <c r="C181" s="48" t="s">
        <v>187</v>
      </c>
      <c r="D181" s="48" t="s">
        <v>189</v>
      </c>
      <c r="E181" s="48" t="s">
        <v>190</v>
      </c>
      <c r="F181" s="50" t="s">
        <v>128</v>
      </c>
      <c r="G181" s="49">
        <v>21.7</v>
      </c>
      <c r="H181" s="393" t="str">
        <f>IF(AND(ISNUMBER(HLOOKUP(Table4[[#This Row],[Crop]],Input_Scenario,10,FALSE)),ISNUMBER(HLOOKUP(Table4[[#This Row],[Crop]],Input_Scenario,5,FALSE))),Table4[[#This Row],[SV90]]*HLOOKUP(Table4[[#This Row],[Crop]],Input_Scenario,10,FALSE)*HLOOKUP(Table4[[#This Row],[Crop]],Input_Scenario,5,FALSE),"")</f>
        <v/>
      </c>
      <c r="I181" s="394" t="str">
        <f ca="1">IF(AND(ISNUMBER($D$12),ISNUMBER(Table4[[#This Row],[DDD90 (mg/kg bw/d)]])),$D$48/Table4[[#This Row],[DDD90 (mg/kg bw/d)]],"")</f>
        <v/>
      </c>
      <c r="J181" s="194" t="str">
        <f ca="1">IF(ISNUMBER(Table4[[#This Row],[TERmix]]),"Input provided","No input")</f>
        <v>No input</v>
      </c>
      <c r="K181" s="33"/>
      <c r="L181" s="37"/>
      <c r="P181" s="33"/>
    </row>
    <row r="182" spans="1:16" s="36" customFormat="1" ht="14.45" customHeight="1">
      <c r="A182" s="21"/>
      <c r="B182" s="195"/>
      <c r="C182" s="48" t="s">
        <v>191</v>
      </c>
      <c r="D182" s="48" t="s">
        <v>108</v>
      </c>
      <c r="E182" s="48" t="s">
        <v>105</v>
      </c>
      <c r="F182" s="50" t="s">
        <v>192</v>
      </c>
      <c r="G182" s="49">
        <v>27.4</v>
      </c>
      <c r="H182" s="393" t="str">
        <f>IF(AND(ISNUMBER(HLOOKUP(Table4[[#This Row],[Crop]],Input_Scenario,10,FALSE)),ISNUMBER(HLOOKUP(Table4[[#This Row],[Crop]],Input_Scenario,5,FALSE))),Table4[[#This Row],[SV90]]*HLOOKUP(Table4[[#This Row],[Crop]],Input_Scenario,10,FALSE)*HLOOKUP(Table4[[#This Row],[Crop]],Input_Scenario,5,FALSE),"")</f>
        <v/>
      </c>
      <c r="I182" s="394" t="str">
        <f ca="1">IF(AND(ISNUMBER($D$12),ISNUMBER(Table4[[#This Row],[DDD90 (mg/kg bw/d)]])),$D$48/Table4[[#This Row],[DDD90 (mg/kg bw/d)]],"")</f>
        <v/>
      </c>
      <c r="J182" s="194" t="str">
        <f ca="1">IF(ISNUMBER(Table4[[#This Row],[TERmix]]),"Input provided","No input")</f>
        <v>No input</v>
      </c>
      <c r="K182" s="33"/>
      <c r="L182" s="37"/>
      <c r="P182" s="33"/>
    </row>
    <row r="183" spans="1:16" s="36" customFormat="1" ht="14.45" customHeight="1">
      <c r="A183" s="21"/>
      <c r="B183" s="195"/>
      <c r="C183" s="48" t="s">
        <v>191</v>
      </c>
      <c r="D183" s="48" t="s">
        <v>108</v>
      </c>
      <c r="E183" s="48" t="s">
        <v>101</v>
      </c>
      <c r="F183" s="50" t="s">
        <v>102</v>
      </c>
      <c r="G183" s="49">
        <v>14.8</v>
      </c>
      <c r="H183" s="393" t="str">
        <f>IF(AND(ISNUMBER(HLOOKUP(Table4[[#This Row],[Crop]],Input_Scenario,10,FALSE)),ISNUMBER(HLOOKUP(Table4[[#This Row],[Crop]],Input_Scenario,5,FALSE))),Table4[[#This Row],[SV90]]*HLOOKUP(Table4[[#This Row],[Crop]],Input_Scenario,10,FALSE)*HLOOKUP(Table4[[#This Row],[Crop]],Input_Scenario,5,FALSE),"")</f>
        <v/>
      </c>
      <c r="I183" s="394" t="str">
        <f ca="1">IF(AND(ISNUMBER($D$12),ISNUMBER(Table4[[#This Row],[DDD90 (mg/kg bw/d)]])),$D$48/Table4[[#This Row],[DDD90 (mg/kg bw/d)]],"")</f>
        <v/>
      </c>
      <c r="J183" s="194" t="str">
        <f ca="1">IF(ISNUMBER(Table4[[#This Row],[TERmix]]),"Input provided","No input")</f>
        <v>No input</v>
      </c>
      <c r="K183" s="33"/>
      <c r="L183" s="37"/>
      <c r="P183" s="33"/>
    </row>
    <row r="184" spans="1:16" s="36" customFormat="1" ht="14.45" customHeight="1">
      <c r="A184" s="21"/>
      <c r="B184" s="195"/>
      <c r="C184" s="48" t="s">
        <v>191</v>
      </c>
      <c r="D184" s="48" t="s">
        <v>108</v>
      </c>
      <c r="E184" s="48" t="s">
        <v>103</v>
      </c>
      <c r="F184" s="50" t="s">
        <v>104</v>
      </c>
      <c r="G184" s="49">
        <v>14.4</v>
      </c>
      <c r="H184" s="393" t="str">
        <f>IF(AND(ISNUMBER(HLOOKUP(Table4[[#This Row],[Crop]],Input_Scenario,10,FALSE)),ISNUMBER(HLOOKUP(Table4[[#This Row],[Crop]],Input_Scenario,5,FALSE))),Table4[[#This Row],[SV90]]*HLOOKUP(Table4[[#This Row],[Crop]],Input_Scenario,10,FALSE)*HLOOKUP(Table4[[#This Row],[Crop]],Input_Scenario,5,FALSE),"")</f>
        <v/>
      </c>
      <c r="I184" s="394" t="str">
        <f ca="1">IF(AND(ISNUMBER($D$12),ISNUMBER(Table4[[#This Row],[DDD90 (mg/kg bw/d)]])),$D$48/Table4[[#This Row],[DDD90 (mg/kg bw/d)]],"")</f>
        <v/>
      </c>
      <c r="J184" s="194" t="str">
        <f ca="1">IF(ISNUMBER(Table4[[#This Row],[TERmix]]),"Input provided","No input")</f>
        <v>No input</v>
      </c>
      <c r="K184" s="33"/>
      <c r="L184" s="37"/>
      <c r="P184" s="33"/>
    </row>
    <row r="185" spans="1:16" s="36" customFormat="1" ht="14.45" customHeight="1">
      <c r="A185" s="21"/>
      <c r="B185" s="195"/>
      <c r="C185" s="48" t="s">
        <v>191</v>
      </c>
      <c r="D185" s="48" t="s">
        <v>111</v>
      </c>
      <c r="E185" s="48" t="s">
        <v>105</v>
      </c>
      <c r="F185" s="50" t="s">
        <v>192</v>
      </c>
      <c r="G185" s="49">
        <v>25.7</v>
      </c>
      <c r="H185" s="393" t="str">
        <f>IF(AND(ISNUMBER(HLOOKUP(Table4[[#This Row],[Crop]],Input_Scenario,10,FALSE)),ISNUMBER(HLOOKUP(Table4[[#This Row],[Crop]],Input_Scenario,5,FALSE))),Table4[[#This Row],[SV90]]*HLOOKUP(Table4[[#This Row],[Crop]],Input_Scenario,10,FALSE)*HLOOKUP(Table4[[#This Row],[Crop]],Input_Scenario,5,FALSE),"")</f>
        <v/>
      </c>
      <c r="I185" s="394" t="str">
        <f ca="1">IF(AND(ISNUMBER($D$12),ISNUMBER(Table4[[#This Row],[DDD90 (mg/kg bw/d)]])),$D$48/Table4[[#This Row],[DDD90 (mg/kg bw/d)]],"")</f>
        <v/>
      </c>
      <c r="J185" s="194" t="str">
        <f ca="1">IF(ISNUMBER(Table4[[#This Row],[TERmix]]),"Input provided","No input")</f>
        <v>No input</v>
      </c>
      <c r="K185" s="33"/>
      <c r="L185" s="37"/>
      <c r="P185" s="33"/>
    </row>
    <row r="186" spans="1:16" s="36" customFormat="1" ht="14.45" customHeight="1">
      <c r="A186" s="21"/>
      <c r="B186" s="195"/>
      <c r="C186" s="48" t="s">
        <v>191</v>
      </c>
      <c r="D186" s="48" t="s">
        <v>146</v>
      </c>
      <c r="E186" s="48" t="s">
        <v>101</v>
      </c>
      <c r="F186" s="50" t="s">
        <v>102</v>
      </c>
      <c r="G186" s="49">
        <v>12.4</v>
      </c>
      <c r="H186" s="393" t="str">
        <f>IF(AND(ISNUMBER(HLOOKUP(Table4[[#This Row],[Crop]],Input_Scenario,10,FALSE)),ISNUMBER(HLOOKUP(Table4[[#This Row],[Crop]],Input_Scenario,5,FALSE))),Table4[[#This Row],[SV90]]*HLOOKUP(Table4[[#This Row],[Crop]],Input_Scenario,10,FALSE)*HLOOKUP(Table4[[#This Row],[Crop]],Input_Scenario,5,FALSE),"")</f>
        <v/>
      </c>
      <c r="I186" s="394" t="str">
        <f ca="1">IF(AND(ISNUMBER($D$12),ISNUMBER(Table4[[#This Row],[DDD90 (mg/kg bw/d)]])),$D$48/Table4[[#This Row],[DDD90 (mg/kg bw/d)]],"")</f>
        <v/>
      </c>
      <c r="J186" s="194" t="str">
        <f ca="1">IF(ISNUMBER(Table4[[#This Row],[TERmix]]),"Input provided","No input")</f>
        <v>No input</v>
      </c>
      <c r="K186" s="33"/>
      <c r="L186" s="37"/>
      <c r="P186" s="33"/>
    </row>
    <row r="187" spans="1:16" s="36" customFormat="1" ht="14.45" customHeight="1">
      <c r="A187" s="21"/>
      <c r="B187" s="195"/>
      <c r="C187" s="48" t="s">
        <v>191</v>
      </c>
      <c r="D187" s="48" t="s">
        <v>146</v>
      </c>
      <c r="E187" s="48" t="s">
        <v>103</v>
      </c>
      <c r="F187" s="50" t="s">
        <v>104</v>
      </c>
      <c r="G187" s="49">
        <v>12</v>
      </c>
      <c r="H187" s="393" t="str">
        <f>IF(AND(ISNUMBER(HLOOKUP(Table4[[#This Row],[Crop]],Input_Scenario,10,FALSE)),ISNUMBER(HLOOKUP(Table4[[#This Row],[Crop]],Input_Scenario,5,FALSE))),Table4[[#This Row],[SV90]]*HLOOKUP(Table4[[#This Row],[Crop]],Input_Scenario,10,FALSE)*HLOOKUP(Table4[[#This Row],[Crop]],Input_Scenario,5,FALSE),"")</f>
        <v/>
      </c>
      <c r="I187" s="394" t="str">
        <f ca="1">IF(AND(ISNUMBER($D$12),ISNUMBER(Table4[[#This Row],[DDD90 (mg/kg bw/d)]])),$D$48/Table4[[#This Row],[DDD90 (mg/kg bw/d)]],"")</f>
        <v/>
      </c>
      <c r="J187" s="194" t="str">
        <f ca="1">IF(ISNUMBER(Table4[[#This Row],[TERmix]]),"Input provided","No input")</f>
        <v>No input</v>
      </c>
      <c r="K187" s="33"/>
      <c r="L187" s="37"/>
      <c r="P187" s="33"/>
    </row>
    <row r="188" spans="1:16" s="36" customFormat="1" ht="14.45" customHeight="1">
      <c r="A188" s="21"/>
      <c r="B188" s="195"/>
      <c r="C188" s="48" t="s">
        <v>191</v>
      </c>
      <c r="D188" s="48" t="s">
        <v>109</v>
      </c>
      <c r="E188" s="48" t="s">
        <v>101</v>
      </c>
      <c r="F188" s="50" t="s">
        <v>102</v>
      </c>
      <c r="G188" s="49">
        <v>7.4</v>
      </c>
      <c r="H188" s="393" t="str">
        <f>IF(AND(ISNUMBER(HLOOKUP(Table4[[#This Row],[Crop]],Input_Scenario,10,FALSE)),ISNUMBER(HLOOKUP(Table4[[#This Row],[Crop]],Input_Scenario,5,FALSE))),Table4[[#This Row],[SV90]]*HLOOKUP(Table4[[#This Row],[Crop]],Input_Scenario,10,FALSE)*HLOOKUP(Table4[[#This Row],[Crop]],Input_Scenario,5,FALSE),"")</f>
        <v/>
      </c>
      <c r="I188" s="394" t="str">
        <f ca="1">IF(AND(ISNUMBER($D$12),ISNUMBER(Table4[[#This Row],[DDD90 (mg/kg bw/d)]])),$D$48/Table4[[#This Row],[DDD90 (mg/kg bw/d)]],"")</f>
        <v/>
      </c>
      <c r="J188" s="194" t="str">
        <f ca="1">IF(ISNUMBER(Table4[[#This Row],[TERmix]]),"Input provided","No input")</f>
        <v>No input</v>
      </c>
      <c r="K188" s="33"/>
      <c r="L188" s="37"/>
      <c r="P188" s="33"/>
    </row>
    <row r="189" spans="1:16" s="36" customFormat="1" ht="14.45" customHeight="1">
      <c r="A189" s="21"/>
      <c r="B189" s="195"/>
      <c r="C189" s="48" t="s">
        <v>191</v>
      </c>
      <c r="D189" s="48" t="s">
        <v>109</v>
      </c>
      <c r="E189" s="48" t="s">
        <v>103</v>
      </c>
      <c r="F189" s="50" t="s">
        <v>104</v>
      </c>
      <c r="G189" s="49">
        <v>7.2</v>
      </c>
      <c r="H189" s="393" t="str">
        <f>IF(AND(ISNUMBER(HLOOKUP(Table4[[#This Row],[Crop]],Input_Scenario,10,FALSE)),ISNUMBER(HLOOKUP(Table4[[#This Row],[Crop]],Input_Scenario,5,FALSE))),Table4[[#This Row],[SV90]]*HLOOKUP(Table4[[#This Row],[Crop]],Input_Scenario,10,FALSE)*HLOOKUP(Table4[[#This Row],[Crop]],Input_Scenario,5,FALSE),"")</f>
        <v/>
      </c>
      <c r="I189" s="394" t="str">
        <f ca="1">IF(AND(ISNUMBER($D$12),ISNUMBER(Table4[[#This Row],[DDD90 (mg/kg bw/d)]])),$D$48/Table4[[#This Row],[DDD90 (mg/kg bw/d)]],"")</f>
        <v/>
      </c>
      <c r="J189" s="194" t="str">
        <f ca="1">IF(ISNUMBER(Table4[[#This Row],[TERmix]]),"Input provided","No input")</f>
        <v>No input</v>
      </c>
      <c r="K189" s="33"/>
      <c r="L189" s="37"/>
      <c r="P189" s="33"/>
    </row>
    <row r="190" spans="1:16" s="36" customFormat="1" ht="14.45" customHeight="1">
      <c r="A190" s="21"/>
      <c r="B190" s="195"/>
      <c r="C190" s="48" t="s">
        <v>191</v>
      </c>
      <c r="D190" s="48" t="s">
        <v>193</v>
      </c>
      <c r="E190" s="48" t="s">
        <v>114</v>
      </c>
      <c r="F190" s="50" t="s">
        <v>194</v>
      </c>
      <c r="G190" s="49">
        <v>28.9</v>
      </c>
      <c r="H190" s="393" t="str">
        <f>IF(AND(ISNUMBER(HLOOKUP(Table4[[#This Row],[Crop]],Input_Scenario,10,FALSE)),ISNUMBER(HLOOKUP(Table4[[#This Row],[Crop]],Input_Scenario,5,FALSE))),Table4[[#This Row],[SV90]]*HLOOKUP(Table4[[#This Row],[Crop]],Input_Scenario,10,FALSE)*HLOOKUP(Table4[[#This Row],[Crop]],Input_Scenario,5,FALSE),"")</f>
        <v/>
      </c>
      <c r="I190" s="394" t="str">
        <f ca="1">IF(AND(ISNUMBER($D$12),ISNUMBER(Table4[[#This Row],[DDD90 (mg/kg bw/d)]])),$D$48/Table4[[#This Row],[DDD90 (mg/kg bw/d)]],"")</f>
        <v/>
      </c>
      <c r="J190" s="194" t="str">
        <f ca="1">IF(ISNUMBER(Table4[[#This Row],[TERmix]]),"Input provided","No input")</f>
        <v>No input</v>
      </c>
      <c r="K190" s="33"/>
      <c r="L190" s="37"/>
      <c r="P190" s="33"/>
    </row>
    <row r="191" spans="1:16" ht="14.45" customHeight="1">
      <c r="A191" s="21"/>
      <c r="B191" s="21"/>
      <c r="C191" s="22"/>
      <c r="D191" s="23"/>
      <c r="E191" s="21"/>
      <c r="F191" s="21"/>
      <c r="G191" s="17"/>
      <c r="H191" s="17"/>
      <c r="I191" s="17"/>
      <c r="O191" s="8"/>
    </row>
    <row r="192" spans="1:16" ht="21" customHeight="1">
      <c r="C192" s="91" t="s">
        <v>195</v>
      </c>
    </row>
    <row r="193" spans="3:9">
      <c r="C193" s="462" t="s">
        <v>196</v>
      </c>
      <c r="D193" s="462"/>
      <c r="E193" s="462"/>
      <c r="F193" s="462"/>
      <c r="G193" s="462"/>
      <c r="H193" s="462"/>
      <c r="I193" s="462"/>
    </row>
    <row r="194" spans="3:9">
      <c r="C194" s="462"/>
      <c r="D194" s="462"/>
      <c r="E194" s="462"/>
      <c r="F194" s="462"/>
      <c r="G194" s="462"/>
      <c r="H194" s="462"/>
      <c r="I194" s="462"/>
    </row>
    <row r="195" spans="3:9">
      <c r="C195" s="462"/>
      <c r="D195" s="462"/>
      <c r="E195" s="462"/>
      <c r="F195" s="462"/>
      <c r="G195" s="462"/>
      <c r="H195" s="462"/>
      <c r="I195" s="462"/>
    </row>
    <row r="196" spans="3:9">
      <c r="C196" s="462"/>
      <c r="D196" s="462"/>
      <c r="E196" s="462"/>
      <c r="F196" s="462"/>
      <c r="G196" s="462"/>
      <c r="H196" s="462"/>
      <c r="I196" s="462"/>
    </row>
    <row r="197" spans="3:9">
      <c r="C197" s="462"/>
      <c r="D197" s="462"/>
      <c r="E197" s="462"/>
      <c r="F197" s="462"/>
      <c r="G197" s="462"/>
      <c r="H197" s="462"/>
      <c r="I197" s="462"/>
    </row>
    <row r="198" spans="3:9">
      <c r="C198" s="462"/>
      <c r="D198" s="462"/>
      <c r="E198" s="462"/>
      <c r="F198" s="462"/>
      <c r="G198" s="462"/>
      <c r="H198" s="462"/>
      <c r="I198" s="462"/>
    </row>
    <row r="199" spans="3:9">
      <c r="C199" s="462"/>
      <c r="D199" s="462"/>
      <c r="E199" s="462"/>
      <c r="F199" s="462"/>
      <c r="G199" s="462"/>
      <c r="H199" s="462"/>
      <c r="I199" s="462"/>
    </row>
    <row r="200" spans="3:9">
      <c r="C200" s="462"/>
      <c r="D200" s="462"/>
      <c r="E200" s="462"/>
      <c r="F200" s="462"/>
      <c r="G200" s="462"/>
      <c r="H200" s="462"/>
      <c r="I200" s="462"/>
    </row>
    <row r="201" spans="3:9">
      <c r="C201" s="462"/>
      <c r="D201" s="462"/>
      <c r="E201" s="462"/>
      <c r="F201" s="462"/>
      <c r="G201" s="462"/>
      <c r="H201" s="462"/>
      <c r="I201" s="462"/>
    </row>
    <row r="202" spans="3:9">
      <c r="C202" s="462"/>
      <c r="D202" s="462"/>
      <c r="E202" s="462"/>
      <c r="F202" s="462"/>
      <c r="G202" s="462"/>
      <c r="H202" s="462"/>
      <c r="I202" s="462"/>
    </row>
    <row r="203" spans="3:9">
      <c r="C203" s="462"/>
      <c r="D203" s="462"/>
      <c r="E203" s="462"/>
      <c r="F203" s="462"/>
      <c r="G203" s="462"/>
      <c r="H203" s="462"/>
      <c r="I203" s="462"/>
    </row>
    <row r="204" spans="3:9" ht="15" customHeight="1">
      <c r="C204" s="462"/>
      <c r="D204" s="462"/>
      <c r="E204" s="462"/>
      <c r="F204" s="462"/>
      <c r="G204" s="462"/>
      <c r="H204" s="462"/>
      <c r="I204" s="462"/>
    </row>
    <row r="205" spans="3:9" ht="31.5" customHeight="1">
      <c r="C205" s="461" t="s">
        <v>197</v>
      </c>
      <c r="D205" s="461"/>
      <c r="E205" s="461"/>
      <c r="F205" s="461"/>
      <c r="G205" s="461"/>
      <c r="H205" s="461"/>
      <c r="I205" s="461"/>
    </row>
    <row r="206" spans="3:9">
      <c r="C206" s="331" t="s">
        <v>198</v>
      </c>
    </row>
    <row r="207" spans="3:9">
      <c r="C207" s="42"/>
    </row>
    <row r="208" spans="3:9">
      <c r="C208" s="42"/>
    </row>
    <row r="209" spans="3:3">
      <c r="C209" s="42"/>
    </row>
    <row r="210" spans="3:3">
      <c r="C210" s="42"/>
    </row>
  </sheetData>
  <sheetProtection algorithmName="SHA-512" hashValue="CLbtSdkG2Sif5xTBRP+rGQ/uX2cgOWmZfJPUMxvP3a7+vZpoFfSCkqTYe6M/dGGazZmQ8WcSnJicSSlPM3BrBg==" saltValue="Etr/59It998KO3TiXtDzAQ==" spinCount="100000" sheet="1" objects="1" scenarios="1" formatColumns="0" formatRows="0" sort="0" autoFilter="0" pivotTables="0"/>
  <mergeCells count="9">
    <mergeCell ref="C205:I205"/>
    <mergeCell ref="C193:I204"/>
    <mergeCell ref="C31:D31"/>
    <mergeCell ref="G30:G35"/>
    <mergeCell ref="C2:G3"/>
    <mergeCell ref="C21:E22"/>
    <mergeCell ref="C37:E38"/>
    <mergeCell ref="C27:F27"/>
    <mergeCell ref="C28:F28"/>
  </mergeCells>
  <conditionalFormatting sqref="I63:I190">
    <cfRule type="expression" dxfId="205" priority="35">
      <formula>AND(ISNUMBER(I63),I63&lt;=10)</formula>
    </cfRule>
    <cfRule type="expression" dxfId="204" priority="36">
      <formula>AND(ISNUMBER(I63),I63&gt;10)</formula>
    </cfRule>
  </conditionalFormatting>
  <conditionalFormatting sqref="D18:H18">
    <cfRule type="expression" dxfId="203" priority="9">
      <formula>ISNUMBER(D18)</formula>
    </cfRule>
    <cfRule type="dataBar" priority="26">
      <dataBar>
        <cfvo type="num" val="0"/>
        <cfvo type="num" val="1"/>
        <color rgb="FFFFD85B"/>
      </dataBar>
      <extLst>
        <ext xmlns:x14="http://schemas.microsoft.com/office/spreadsheetml/2009/9/main" uri="{B025F937-C7B1-47D3-B67F-A62EFF666E3E}">
          <x14:id>{A41AEF5C-F14C-490F-B8C5-781A8C70A42D}</x14:id>
        </ext>
      </extLst>
    </cfRule>
  </conditionalFormatting>
  <conditionalFormatting sqref="A26:N39">
    <cfRule type="expression" dxfId="202" priority="11">
      <formula>Step2="Passive"</formula>
    </cfRule>
  </conditionalFormatting>
  <conditionalFormatting sqref="C63:I190">
    <cfRule type="expression" dxfId="201" priority="447">
      <formula>NOT(ISNUMBER($I63))</formula>
    </cfRule>
  </conditionalFormatting>
  <conditionalFormatting sqref="E34">
    <cfRule type="expression" dxfId="200" priority="490">
      <formula>AND(ISNUMBER(SEARCH("2b",$C$30)),$E$33&lt;0)</formula>
    </cfRule>
  </conditionalFormatting>
  <conditionalFormatting sqref="G30:G35 E33">
    <cfRule type="expression" dxfId="199" priority="21">
      <formula>AND(ISNUMBER($E$33),$E$33&lt;0)</formula>
    </cfRule>
  </conditionalFormatting>
  <conditionalFormatting sqref="A6:N24">
    <cfRule type="expression" dxfId="198" priority="5">
      <formula>$B$5="Passive"</formula>
    </cfRule>
  </conditionalFormatting>
  <conditionalFormatting sqref="G30:G35">
    <cfRule type="expression" dxfId="197" priority="20">
      <formula>AND(ISNUMBER($E$33),$E$33&gt;=0)</formula>
    </cfRule>
  </conditionalFormatting>
  <dataValidations count="1">
    <dataValidation type="list" allowBlank="1" showErrorMessage="1" sqref="E34" xr:uid="{60FB34D3-B344-4F67-8696-52910D0B9BEE}">
      <formula1>"Yes, No"</formula1>
    </dataValidation>
  </dataValidations>
  <hyperlinks>
    <hyperlink ref="C206" r:id="rId1" xr:uid="{B762F01C-7491-4CB8-9CC0-CEAF82940088}"/>
  </hyperlinks>
  <pageMargins left="0.7" right="0.7" top="0.75" bottom="0.75" header="0.3" footer="0.3"/>
  <pageSetup paperSize="9" orientation="portrait"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A41AEF5C-F14C-490F-B8C5-781A8C70A42D}">
            <x14:dataBar minLength="0" maxLength="100" border="1" gradient="0">
              <x14:cfvo type="num">
                <xm:f>0</xm:f>
              </x14:cfvo>
              <x14:cfvo type="num">
                <xm:f>1</xm:f>
              </x14:cfvo>
              <x14:borderColor theme="7" tint="-0.249977111117893"/>
              <x14:negativeFillColor rgb="FFFF0000"/>
              <x14:axisColor rgb="FF000000"/>
            </x14:dataBar>
          </x14:cfRule>
          <xm:sqref>D18:H18</xm:sqref>
        </x14:conditionalFormatting>
        <x14:conditionalFormatting xmlns:xm="http://schemas.microsoft.com/office/excel/2006/main">
          <x14:cfRule type="expression" priority="737" id="{E80AFE1A-1E3A-4CF2-8402-2A23B29F4209}">
            <xm:f>ISNUMBER(Input!C$20)</xm:f>
            <x14:dxf>
              <font>
                <b/>
                <i val="0"/>
                <color theme="8" tint="-0.24994659260841701"/>
              </font>
              <fill>
                <patternFill>
                  <bgColor theme="4" tint="0.79998168889431442"/>
                </patternFill>
              </fill>
              <border>
                <left/>
                <right/>
                <top/>
                <bottom style="thin">
                  <color auto="1"/>
                </bottom>
                <vertical/>
                <horizontal/>
              </border>
            </x14:dxf>
          </x14:cfRule>
          <xm:sqref>D15:H15</xm:sqref>
        </x14:conditionalFormatting>
        <x14:conditionalFormatting xmlns:xm="http://schemas.microsoft.com/office/excel/2006/main">
          <x14:cfRule type="expression" priority="738" id="{4092859C-2BD0-4C6B-99F4-BB7CE3602734}">
            <xm:f>ISNUMBER(Input!C$20)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D16:H18</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M174"/>
  <sheetViews>
    <sheetView topLeftCell="A3" zoomScale="115" zoomScaleNormal="115" workbookViewId="0">
      <selection activeCell="D13" sqref="D13"/>
    </sheetView>
  </sheetViews>
  <sheetFormatPr defaultColWidth="11.5703125" defaultRowHeight="12"/>
  <cols>
    <col min="1" max="1" width="11.5703125" style="57"/>
    <col min="2" max="2" width="11.5703125" style="59" hidden="1" customWidth="1"/>
    <col min="3" max="3" width="23" style="57" customWidth="1"/>
    <col min="4" max="4" width="31.85546875" style="57" customWidth="1"/>
    <col min="5" max="5" width="25.85546875" style="57" customWidth="1"/>
    <col min="6" max="6" width="12.140625" style="57" customWidth="1"/>
    <col min="7" max="8" width="15.42578125" style="57" customWidth="1"/>
    <col min="9" max="17" width="15.42578125" style="59" customWidth="1"/>
    <col min="18" max="18" width="15.42578125" style="57" customWidth="1"/>
    <col min="19" max="19" width="10.28515625" style="59" customWidth="1"/>
    <col min="20" max="20" width="13.140625" style="57" customWidth="1"/>
    <col min="21" max="21" width="7.5703125" style="59" customWidth="1"/>
    <col min="22" max="26" width="11.42578125" style="57"/>
    <col min="27" max="34" width="11.5703125" style="57"/>
    <col min="35" max="16384" width="11.5703125" style="107"/>
  </cols>
  <sheetData>
    <row r="1" spans="1:39" s="102" customFormat="1" ht="14.25">
      <c r="A1" s="3"/>
      <c r="B1" s="47"/>
      <c r="C1" s="3"/>
      <c r="D1" s="3"/>
      <c r="E1" s="3"/>
      <c r="F1" s="3"/>
      <c r="G1" s="3"/>
      <c r="H1" s="3"/>
      <c r="I1" s="47"/>
      <c r="J1" s="47"/>
      <c r="K1" s="47"/>
      <c r="L1" s="47"/>
      <c r="M1" s="47"/>
      <c r="N1" s="47"/>
      <c r="O1" s="47"/>
      <c r="P1" s="47"/>
      <c r="Q1" s="47"/>
      <c r="R1" s="3"/>
      <c r="S1" s="47"/>
      <c r="T1" s="3"/>
      <c r="U1" s="47"/>
      <c r="V1" s="3"/>
      <c r="W1" s="3"/>
      <c r="X1" s="3"/>
      <c r="Y1" s="3"/>
      <c r="Z1" s="3"/>
      <c r="AA1" s="3"/>
      <c r="AB1" s="3"/>
      <c r="AC1" s="3"/>
      <c r="AD1" s="3"/>
      <c r="AE1" s="3"/>
      <c r="AF1" s="3"/>
      <c r="AG1" s="3"/>
      <c r="AH1" s="3"/>
    </row>
    <row r="2" spans="1:39" s="102" customFormat="1" ht="14.25">
      <c r="A2" s="3"/>
      <c r="B2" s="47"/>
      <c r="C2" s="3"/>
      <c r="D2" s="3"/>
      <c r="E2" s="3"/>
      <c r="F2" s="3"/>
      <c r="G2" s="3"/>
      <c r="H2" s="3"/>
      <c r="I2" s="47"/>
      <c r="J2" s="47"/>
      <c r="K2" s="47"/>
      <c r="L2" s="47"/>
      <c r="M2" s="47"/>
      <c r="N2" s="47"/>
      <c r="O2" s="47"/>
      <c r="P2" s="47"/>
      <c r="Q2" s="47"/>
      <c r="R2" s="3"/>
      <c r="S2" s="47"/>
      <c r="T2" s="3"/>
      <c r="U2" s="47"/>
      <c r="V2" s="3"/>
      <c r="W2" s="3"/>
      <c r="X2" s="3"/>
      <c r="Y2" s="3"/>
      <c r="Z2" s="3"/>
      <c r="AA2" s="3"/>
      <c r="AB2" s="3"/>
      <c r="AC2" s="3"/>
      <c r="AD2" s="3"/>
      <c r="AE2" s="3"/>
      <c r="AF2" s="3"/>
      <c r="AG2" s="3"/>
      <c r="AH2" s="3"/>
    </row>
    <row r="3" spans="1:39" s="102" customFormat="1" ht="24" customHeight="1">
      <c r="A3" s="358"/>
      <c r="B3" s="359" t="str">
        <f ca="1">IF(AND(Process!D5=TRUE,Process!D9=TRUE),"Active","Passive")</f>
        <v>Passive</v>
      </c>
      <c r="C3" s="475" t="s">
        <v>199</v>
      </c>
      <c r="D3" s="475"/>
      <c r="E3" s="475"/>
      <c r="F3" s="475"/>
      <c r="G3" s="475"/>
      <c r="H3" s="475"/>
      <c r="I3" s="475"/>
      <c r="J3" s="475"/>
      <c r="K3" s="475"/>
      <c r="L3" s="475"/>
      <c r="M3" s="475"/>
      <c r="N3" s="475"/>
      <c r="O3" s="475"/>
      <c r="P3" s="475"/>
      <c r="Q3" s="475"/>
      <c r="R3" s="475"/>
      <c r="S3" s="47"/>
      <c r="T3" s="3"/>
      <c r="U3" s="47"/>
      <c r="V3" s="3"/>
      <c r="W3" s="3"/>
      <c r="X3" s="3"/>
      <c r="Y3" s="3"/>
      <c r="Z3" s="3"/>
      <c r="AA3" s="3"/>
      <c r="AB3" s="3"/>
      <c r="AC3" s="3"/>
      <c r="AD3" s="3"/>
      <c r="AE3" s="3"/>
      <c r="AF3" s="3"/>
      <c r="AG3" s="3"/>
      <c r="AH3" s="3"/>
    </row>
    <row r="4" spans="1:39" s="102" customFormat="1" ht="18">
      <c r="A4" s="3"/>
      <c r="B4" s="47"/>
      <c r="C4" s="51"/>
      <c r="D4" s="51"/>
      <c r="E4" s="3"/>
      <c r="F4" s="3"/>
      <c r="G4" s="3"/>
      <c r="H4" s="3"/>
      <c r="I4" s="47"/>
      <c r="J4" s="47"/>
      <c r="K4" s="47"/>
      <c r="L4" s="47"/>
      <c r="M4" s="47"/>
      <c r="N4" s="47"/>
      <c r="O4" s="47"/>
      <c r="P4" s="47"/>
      <c r="Q4" s="47"/>
      <c r="R4" s="3"/>
      <c r="S4" s="47"/>
      <c r="T4" s="3"/>
      <c r="U4" s="47"/>
      <c r="V4" s="3"/>
      <c r="W4" s="3"/>
      <c r="X4" s="3"/>
      <c r="Y4" s="3"/>
      <c r="Z4" s="3"/>
      <c r="AA4" s="3"/>
      <c r="AB4" s="3"/>
      <c r="AC4" s="3"/>
      <c r="AD4" s="3"/>
      <c r="AE4" s="3"/>
      <c r="AF4" s="3"/>
      <c r="AG4" s="3"/>
      <c r="AH4" s="3"/>
    </row>
    <row r="5" spans="1:39" s="102" customFormat="1" ht="14.25" customHeight="1">
      <c r="A5" s="3"/>
      <c r="B5" s="47"/>
      <c r="C5" s="108"/>
      <c r="D5" s="108"/>
      <c r="E5" s="108"/>
      <c r="F5" s="108"/>
      <c r="G5" s="108"/>
      <c r="H5" s="108"/>
      <c r="I5" s="108"/>
      <c r="J5" s="108"/>
      <c r="K5" s="108"/>
      <c r="L5" s="47"/>
      <c r="M5" s="47"/>
      <c r="N5" s="47"/>
      <c r="O5" s="47"/>
      <c r="P5" s="47"/>
      <c r="Q5" s="47"/>
      <c r="R5" s="3"/>
      <c r="S5" s="47"/>
      <c r="T5" s="3"/>
      <c r="U5" s="47"/>
      <c r="V5" s="3"/>
      <c r="W5" s="3"/>
      <c r="X5" s="3"/>
      <c r="Y5" s="3"/>
      <c r="Z5" s="3"/>
      <c r="AA5" s="3"/>
      <c r="AB5" s="3"/>
      <c r="AC5" s="3"/>
      <c r="AD5" s="3"/>
      <c r="AE5" s="3"/>
      <c r="AF5" s="3"/>
      <c r="AG5" s="3"/>
      <c r="AH5" s="3"/>
    </row>
    <row r="6" spans="1:39" s="102" customFormat="1" ht="14.25">
      <c r="A6" s="3"/>
      <c r="B6" s="47"/>
      <c r="C6" s="108"/>
      <c r="D6" s="108"/>
      <c r="E6" s="108"/>
      <c r="F6" s="108"/>
      <c r="G6" s="108"/>
      <c r="H6" s="108"/>
      <c r="I6" s="108"/>
      <c r="J6" s="108"/>
      <c r="K6" s="108"/>
      <c r="L6" s="47"/>
      <c r="M6" s="3"/>
      <c r="N6" s="3"/>
      <c r="O6" s="3"/>
      <c r="P6" s="3"/>
      <c r="Q6" s="47"/>
      <c r="R6" s="3"/>
      <c r="S6" s="47"/>
      <c r="T6" s="3"/>
      <c r="U6" s="47"/>
      <c r="V6" s="3"/>
      <c r="W6" s="3"/>
      <c r="X6" s="3"/>
      <c r="Y6" s="3"/>
      <c r="Z6" s="3"/>
      <c r="AA6" s="3"/>
      <c r="AB6" s="3"/>
      <c r="AC6" s="3"/>
      <c r="AD6" s="3"/>
      <c r="AE6" s="3"/>
      <c r="AF6" s="3"/>
      <c r="AG6" s="3"/>
      <c r="AH6" s="3"/>
    </row>
    <row r="7" spans="1:39" s="102" customFormat="1" ht="17.25" customHeight="1">
      <c r="A7" s="3"/>
      <c r="B7" s="47"/>
      <c r="C7" s="108"/>
      <c r="D7" s="108"/>
      <c r="E7" s="108"/>
      <c r="F7" s="108"/>
      <c r="G7" s="108"/>
      <c r="H7" s="108"/>
      <c r="I7" s="108"/>
      <c r="J7" s="108"/>
      <c r="K7" s="108"/>
      <c r="L7" s="47"/>
      <c r="M7" s="3"/>
      <c r="N7" s="3"/>
      <c r="O7" s="3"/>
      <c r="P7" s="3"/>
      <c r="Q7" s="47"/>
      <c r="R7" s="3"/>
      <c r="S7" s="47"/>
      <c r="T7" s="3"/>
      <c r="U7" s="47"/>
      <c r="V7" s="3"/>
      <c r="W7" s="3"/>
      <c r="X7" s="3"/>
      <c r="Y7" s="3"/>
      <c r="Z7" s="3"/>
      <c r="AA7" s="3"/>
      <c r="AB7" s="3"/>
      <c r="AC7" s="3"/>
      <c r="AD7" s="3"/>
      <c r="AE7" s="3"/>
      <c r="AF7" s="3"/>
      <c r="AG7" s="3"/>
      <c r="AH7" s="3"/>
      <c r="AL7" s="469"/>
      <c r="AM7" s="470"/>
    </row>
    <row r="8" spans="1:39" s="102" customFormat="1" ht="14.25">
      <c r="A8" s="3"/>
      <c r="B8" s="47"/>
      <c r="C8" s="108"/>
      <c r="D8" s="108"/>
      <c r="E8" s="108"/>
      <c r="F8" s="108"/>
      <c r="G8" s="108"/>
      <c r="H8" s="108"/>
      <c r="I8" s="108"/>
      <c r="J8" s="108"/>
      <c r="K8" s="108"/>
      <c r="L8" s="47"/>
      <c r="M8" s="3"/>
      <c r="N8" s="3"/>
      <c r="O8" s="3"/>
      <c r="P8" s="3"/>
      <c r="Q8" s="47"/>
      <c r="R8" s="3"/>
      <c r="S8" s="47"/>
      <c r="T8" s="3"/>
      <c r="U8" s="47"/>
      <c r="V8" s="3"/>
      <c r="W8" s="3"/>
      <c r="X8" s="3"/>
      <c r="Y8" s="3"/>
      <c r="Z8" s="3"/>
      <c r="AA8" s="3"/>
      <c r="AB8" s="3"/>
      <c r="AC8" s="3"/>
      <c r="AD8" s="3"/>
      <c r="AE8" s="3"/>
      <c r="AF8" s="3"/>
      <c r="AG8" s="3"/>
      <c r="AH8" s="3"/>
      <c r="AL8" s="469"/>
      <c r="AM8" s="470"/>
    </row>
    <row r="9" spans="1:39" s="102" customFormat="1" ht="14.25" customHeight="1">
      <c r="A9" s="3"/>
      <c r="B9" s="47"/>
      <c r="C9" s="108"/>
      <c r="D9" s="108"/>
      <c r="E9" s="108"/>
      <c r="F9" s="108"/>
      <c r="G9" s="108"/>
      <c r="H9" s="108"/>
      <c r="I9" s="109"/>
      <c r="J9" s="109"/>
      <c r="K9" s="109"/>
      <c r="L9" s="47"/>
      <c r="M9" s="3"/>
      <c r="N9" s="3"/>
      <c r="O9" s="3"/>
      <c r="P9" s="3"/>
      <c r="Q9" s="47"/>
      <c r="R9" s="3"/>
      <c r="S9" s="47"/>
      <c r="T9" s="3"/>
      <c r="U9" s="47"/>
      <c r="V9" s="3"/>
      <c r="W9" s="3"/>
      <c r="X9" s="3"/>
      <c r="Y9" s="3"/>
      <c r="Z9" s="3"/>
      <c r="AA9" s="3"/>
      <c r="AB9" s="3"/>
      <c r="AC9" s="3"/>
      <c r="AD9" s="3"/>
      <c r="AE9" s="3"/>
      <c r="AF9" s="3"/>
      <c r="AG9" s="3"/>
      <c r="AH9" s="3"/>
      <c r="AL9" s="471"/>
      <c r="AM9" s="472"/>
    </row>
    <row r="10" spans="1:39" s="102" customFormat="1" ht="14.25" customHeight="1">
      <c r="A10" s="3"/>
      <c r="B10" s="47"/>
      <c r="C10" s="108"/>
      <c r="D10" s="108"/>
      <c r="E10" s="108"/>
      <c r="F10" s="108"/>
      <c r="G10" s="108"/>
      <c r="H10" s="108"/>
      <c r="I10" s="110"/>
      <c r="J10" s="110"/>
      <c r="K10" s="110"/>
      <c r="L10" s="47"/>
      <c r="M10" s="3"/>
      <c r="N10" s="3"/>
      <c r="O10" s="3"/>
      <c r="P10" s="3"/>
      <c r="Q10" s="47"/>
      <c r="R10" s="3"/>
      <c r="S10" s="47"/>
      <c r="T10" s="3"/>
      <c r="U10" s="47"/>
      <c r="V10" s="3"/>
      <c r="W10" s="3"/>
      <c r="X10" s="3"/>
      <c r="Y10" s="3"/>
      <c r="Z10" s="3"/>
      <c r="AA10" s="3"/>
      <c r="AB10" s="3"/>
      <c r="AC10" s="3"/>
      <c r="AD10" s="3"/>
      <c r="AE10" s="3"/>
      <c r="AF10" s="3"/>
      <c r="AG10" s="3"/>
      <c r="AH10" s="3"/>
      <c r="AL10" s="103"/>
      <c r="AM10" s="103"/>
    </row>
    <row r="11" spans="1:39" s="102" customFormat="1" ht="14.25">
      <c r="A11" s="3"/>
      <c r="B11" s="47"/>
      <c r="C11" s="116"/>
      <c r="D11" s="52"/>
      <c r="E11" s="52"/>
      <c r="F11" s="3"/>
      <c r="G11" s="3"/>
      <c r="H11" s="52"/>
      <c r="I11" s="52"/>
      <c r="J11" s="52"/>
      <c r="K11" s="52"/>
      <c r="L11" s="52"/>
      <c r="M11" s="52"/>
      <c r="N11" s="52"/>
      <c r="O11" s="47"/>
      <c r="P11" s="47"/>
      <c r="Q11" s="47"/>
      <c r="R11" s="3"/>
      <c r="S11" s="47"/>
      <c r="T11" s="3"/>
      <c r="U11" s="47"/>
      <c r="V11" s="3"/>
      <c r="W11" s="3"/>
      <c r="X11" s="3"/>
      <c r="Y11" s="3"/>
      <c r="Z11" s="3"/>
      <c r="AA11" s="3"/>
      <c r="AB11" s="3"/>
      <c r="AC11" s="3"/>
      <c r="AD11" s="3"/>
      <c r="AE11" s="3"/>
      <c r="AF11" s="3"/>
      <c r="AG11" s="3"/>
      <c r="AH11" s="3"/>
    </row>
    <row r="12" spans="1:39" s="102" customFormat="1" ht="13.9" customHeight="1">
      <c r="A12" s="3"/>
      <c r="B12" s="47"/>
      <c r="C12" s="133"/>
      <c r="D12" s="53" t="s">
        <v>200</v>
      </c>
      <c r="E12" s="3"/>
      <c r="F12" s="134" t="s">
        <v>201</v>
      </c>
      <c r="G12" s="3"/>
      <c r="H12" s="161"/>
      <c r="I12" s="395" t="str">
        <f ca="1">IF(AND(ISNUMBER(D13),H12=""),"● ", "")</f>
        <v/>
      </c>
      <c r="J12" s="3"/>
      <c r="K12" s="3"/>
      <c r="L12" s="3"/>
      <c r="M12" s="3"/>
      <c r="N12" s="52"/>
      <c r="O12" s="3"/>
      <c r="P12" s="3"/>
      <c r="Q12" s="3"/>
      <c r="R12" s="3"/>
      <c r="S12" s="47"/>
      <c r="T12" s="3"/>
      <c r="U12" s="47"/>
      <c r="V12" s="3"/>
      <c r="W12" s="3"/>
      <c r="X12" s="3"/>
      <c r="Y12" s="3"/>
      <c r="Z12" s="3"/>
      <c r="AA12" s="3"/>
      <c r="AB12" s="3"/>
      <c r="AC12" s="3"/>
      <c r="AD12" s="3"/>
      <c r="AE12" s="3"/>
      <c r="AF12" s="3"/>
      <c r="AG12" s="3"/>
      <c r="AH12" s="3"/>
    </row>
    <row r="13" spans="1:39" s="102" customFormat="1" ht="15" customHeight="1">
      <c r="A13" s="3"/>
      <c r="B13" s="158" t="s">
        <v>202</v>
      </c>
      <c r="C13" s="196" t="str">
        <f>Name_form</f>
        <v>Product</v>
      </c>
      <c r="D13" s="205" t="str">
        <f ca="1">IF(AND($B$3="Active",ISNUMBER(B_NOAEL_form)),B_NOAEL_form,"")</f>
        <v/>
      </c>
      <c r="E13" s="198" t="str">
        <f>B_Chronic_Form_Study</f>
        <v>Not available</v>
      </c>
      <c r="F13" s="502" t="str">
        <f>IF(AND(E13&lt;&gt;"Not available",NOT(ISBLANK(E13))),"Consider if the chronic formulation study should be used in the risk assessment or used in a weight-of-evidence approach instead. In the former case, formulation C(mix) and TERlt are presented in the table below instead of HI SUM.","")</f>
        <v/>
      </c>
      <c r="G13" s="503"/>
      <c r="H13" s="504"/>
      <c r="I13" s="3"/>
      <c r="J13" s="3"/>
      <c r="K13" s="3"/>
      <c r="L13" s="3"/>
      <c r="M13" s="3"/>
      <c r="N13" s="52"/>
      <c r="O13" s="3"/>
      <c r="P13" s="3"/>
      <c r="Q13" s="3"/>
      <c r="R13" s="3"/>
      <c r="S13" s="47"/>
      <c r="T13" s="3"/>
      <c r="U13" s="47"/>
      <c r="V13" s="3"/>
      <c r="W13" s="3"/>
      <c r="X13" s="3"/>
      <c r="Y13" s="3"/>
      <c r="Z13" s="3"/>
      <c r="AA13" s="3"/>
      <c r="AB13" s="3"/>
      <c r="AC13" s="3"/>
      <c r="AD13" s="3"/>
      <c r="AE13" s="3"/>
      <c r="AF13" s="3"/>
      <c r="AG13" s="3"/>
      <c r="AH13" s="3"/>
    </row>
    <row r="14" spans="1:39" s="102" customFormat="1" ht="13.9" customHeight="1">
      <c r="A14" s="3"/>
      <c r="B14" s="47">
        <v>1</v>
      </c>
      <c r="C14" s="197" t="str">
        <f>IF(Calculations!D12&lt;&gt;"",Calculations!D12,"")</f>
        <v/>
      </c>
      <c r="D14" s="222" t="str" cm="1">
        <f t="array" aca="1" ref="D14" ca="1">IF(AND($B$3="Active", ISNUMBER(INDEX(Active[B_NOAEL], B14))),
                          INDEX(Active[B_NOAEL], B14),"")</f>
        <v/>
      </c>
      <c r="E14" s="3"/>
      <c r="F14" s="505"/>
      <c r="G14" s="506"/>
      <c r="H14" s="507"/>
      <c r="I14" s="3"/>
      <c r="J14" s="3"/>
      <c r="K14" s="3"/>
      <c r="L14" s="3"/>
      <c r="M14" s="3"/>
      <c r="N14" s="52"/>
      <c r="O14" s="3"/>
      <c r="P14" s="3"/>
      <c r="Q14" s="3"/>
      <c r="R14" s="3"/>
      <c r="S14" s="47"/>
      <c r="T14" s="3"/>
      <c r="U14" s="47"/>
      <c r="V14" s="3"/>
      <c r="W14" s="3"/>
      <c r="X14" s="3"/>
      <c r="Y14" s="3"/>
      <c r="Z14" s="3"/>
      <c r="AA14" s="3"/>
      <c r="AB14" s="3"/>
      <c r="AC14" s="3"/>
      <c r="AD14" s="3"/>
      <c r="AE14" s="3"/>
      <c r="AF14" s="3"/>
      <c r="AG14" s="3"/>
      <c r="AH14" s="3"/>
    </row>
    <row r="15" spans="1:39" s="102" customFormat="1" ht="14.25">
      <c r="A15" s="3"/>
      <c r="B15" s="47">
        <v>2</v>
      </c>
      <c r="C15" s="197" t="str">
        <f>IF(Calculations!D13&lt;&gt;"",Calculations!D13,"")</f>
        <v/>
      </c>
      <c r="D15" s="222" t="str" cm="1">
        <f t="array" aca="1" ref="D15" ca="1">IF(AND($B$3="Active", ISNUMBER(INDEX(Active[B_NOAEL], B15))),
                          INDEX(Active[B_NOAEL], B15),"")</f>
        <v/>
      </c>
      <c r="E15" s="3"/>
      <c r="F15" s="505"/>
      <c r="G15" s="506"/>
      <c r="H15" s="507"/>
      <c r="I15" s="3"/>
      <c r="J15" s="3"/>
      <c r="K15" s="52"/>
      <c r="L15" s="3"/>
      <c r="M15" s="3"/>
      <c r="N15" s="3"/>
      <c r="O15" s="3"/>
      <c r="P15" s="3"/>
      <c r="Q15" s="3"/>
      <c r="R15" s="47"/>
      <c r="S15" s="3"/>
      <c r="T15" s="3"/>
      <c r="U15" s="3"/>
      <c r="V15" s="3"/>
      <c r="W15" s="3"/>
      <c r="X15" s="3"/>
      <c r="Y15" s="3"/>
      <c r="Z15" s="3"/>
      <c r="AA15" s="3"/>
      <c r="AB15" s="3"/>
      <c r="AC15" s="3"/>
      <c r="AD15" s="3"/>
      <c r="AE15" s="3"/>
      <c r="AF15" s="3"/>
      <c r="AG15" s="3"/>
      <c r="AH15" s="3"/>
    </row>
    <row r="16" spans="1:39" s="102" customFormat="1" ht="15" customHeight="1">
      <c r="A16" s="3"/>
      <c r="B16" s="47">
        <v>3</v>
      </c>
      <c r="C16" s="197" t="str">
        <f>IF(Calculations!D14&lt;&gt;"",Calculations!D14,"")</f>
        <v/>
      </c>
      <c r="D16" s="222" t="str" cm="1">
        <f t="array" aca="1" ref="D16" ca="1">IF(AND($B$3="Active", ISNUMBER(INDEX(Active[B_NOAEL], B16))),
                          INDEX(Active[B_NOAEL], B16),"")</f>
        <v/>
      </c>
      <c r="E16" s="3"/>
      <c r="F16" s="505"/>
      <c r="G16" s="506"/>
      <c r="H16" s="507"/>
      <c r="I16" s="3"/>
      <c r="J16" s="3"/>
      <c r="K16" s="3"/>
      <c r="L16" s="3"/>
      <c r="M16" s="3"/>
      <c r="N16" s="52"/>
      <c r="O16" s="3"/>
      <c r="P16" s="3"/>
      <c r="Q16" s="3"/>
      <c r="R16" s="3"/>
      <c r="S16" s="3"/>
      <c r="T16" s="3"/>
      <c r="U16" s="47"/>
      <c r="V16" s="3"/>
      <c r="W16" s="3"/>
      <c r="X16" s="3"/>
      <c r="Y16" s="3"/>
      <c r="Z16" s="3"/>
      <c r="AA16" s="3"/>
      <c r="AB16" s="3"/>
      <c r="AC16" s="3"/>
      <c r="AD16" s="3"/>
      <c r="AE16" s="3"/>
      <c r="AF16" s="3"/>
      <c r="AG16" s="3"/>
      <c r="AH16" s="3"/>
    </row>
    <row r="17" spans="1:34" s="102" customFormat="1" ht="14.25">
      <c r="A17" s="3"/>
      <c r="B17" s="47">
        <v>4</v>
      </c>
      <c r="C17" s="197" t="str">
        <f>IF(Calculations!D15&lt;&gt;"",Calculations!D15,"")</f>
        <v/>
      </c>
      <c r="D17" s="222" t="str" cm="1">
        <f t="array" aca="1" ref="D17" ca="1">IF(AND($B$3="Active", ISNUMBER(INDEX(Active[B_NOAEL], B17))),
                          INDEX(Active[B_NOAEL], B17),"")</f>
        <v/>
      </c>
      <c r="E17" s="108"/>
      <c r="F17" s="505"/>
      <c r="G17" s="506"/>
      <c r="H17" s="507"/>
      <c r="I17" s="108"/>
      <c r="J17" s="108"/>
      <c r="K17" s="108"/>
      <c r="L17" s="47"/>
      <c r="M17" s="47"/>
      <c r="N17" s="47"/>
      <c r="O17" s="47"/>
      <c r="P17" s="47"/>
      <c r="Q17" s="47"/>
      <c r="R17" s="3"/>
      <c r="S17" s="47"/>
      <c r="T17" s="3"/>
      <c r="U17" s="47"/>
      <c r="V17" s="3"/>
      <c r="W17" s="3"/>
      <c r="X17" s="3"/>
      <c r="Y17" s="3"/>
      <c r="Z17" s="3"/>
      <c r="AA17" s="3"/>
      <c r="AB17" s="3"/>
      <c r="AC17" s="3"/>
      <c r="AD17" s="3"/>
      <c r="AE17" s="3"/>
      <c r="AF17" s="3"/>
      <c r="AG17" s="3"/>
      <c r="AH17" s="3"/>
    </row>
    <row r="18" spans="1:34" s="102" customFormat="1" ht="17.25" customHeight="1">
      <c r="A18" s="3"/>
      <c r="B18" s="47">
        <v>5</v>
      </c>
      <c r="C18" s="197" t="str">
        <f>IF(Calculations!D16&lt;&gt;"",Calculations!D16,"")</f>
        <v/>
      </c>
      <c r="D18" s="223" t="str" cm="1">
        <f t="array" aca="1" ref="D18" ca="1">IF(AND($B$3="Active", ISNUMBER(INDEX(Active[B_NOAEL], B18))),
                          INDEX(Active[B_NOAEL], B18),"")</f>
        <v/>
      </c>
      <c r="E18" s="108"/>
      <c r="F18" s="508"/>
      <c r="G18" s="509"/>
      <c r="H18" s="510"/>
      <c r="I18" s="108"/>
      <c r="J18" s="108"/>
      <c r="K18" s="108"/>
      <c r="L18" s="47"/>
      <c r="M18" s="47"/>
      <c r="N18" s="47"/>
      <c r="O18" s="47"/>
      <c r="P18" s="47"/>
      <c r="Q18" s="47"/>
      <c r="R18" s="47"/>
      <c r="S18" s="47"/>
      <c r="T18" s="47"/>
      <c r="U18" s="47"/>
      <c r="V18" s="47"/>
      <c r="W18" s="47"/>
      <c r="X18" s="47"/>
      <c r="Y18" s="47"/>
      <c r="Z18" s="47"/>
      <c r="AA18" s="47"/>
      <c r="AB18" s="47"/>
      <c r="AC18" s="47"/>
      <c r="AD18" s="47"/>
      <c r="AE18" s="47"/>
      <c r="AF18" s="47"/>
      <c r="AG18" s="47"/>
      <c r="AH18" s="47"/>
    </row>
    <row r="19" spans="1:34" s="102" customFormat="1" ht="17.25" customHeight="1">
      <c r="A19" s="3"/>
      <c r="B19" s="3"/>
      <c r="C19" s="3"/>
      <c r="D19" s="3"/>
      <c r="E19" s="114"/>
      <c r="F19" s="3"/>
      <c r="G19" s="108"/>
      <c r="H19" s="108"/>
      <c r="I19" s="108"/>
      <c r="J19" s="108"/>
      <c r="K19" s="108"/>
      <c r="L19" s="47"/>
      <c r="M19" s="47"/>
      <c r="N19" s="47"/>
      <c r="O19" s="47"/>
      <c r="P19" s="47"/>
      <c r="Q19" s="47"/>
      <c r="R19" s="47"/>
      <c r="S19" s="47"/>
      <c r="T19" s="47"/>
      <c r="U19" s="47"/>
      <c r="V19" s="47"/>
      <c r="W19" s="47"/>
      <c r="X19" s="47"/>
      <c r="Y19" s="47"/>
      <c r="Z19" s="47"/>
      <c r="AA19" s="47"/>
      <c r="AB19" s="47"/>
      <c r="AC19" s="47"/>
      <c r="AD19" s="47"/>
      <c r="AE19" s="47"/>
      <c r="AF19" s="47"/>
      <c r="AG19" s="47"/>
      <c r="AH19" s="47"/>
    </row>
    <row r="20" spans="1:34" s="102" customFormat="1" ht="14.45" customHeight="1">
      <c r="A20" s="3"/>
      <c r="B20" s="3"/>
      <c r="C20" s="3"/>
      <c r="D20" s="47"/>
      <c r="E20" s="24"/>
      <c r="F20" s="24"/>
      <c r="G20" s="3"/>
      <c r="H20" s="47"/>
      <c r="I20" s="47"/>
      <c r="J20" s="47"/>
      <c r="K20" s="47"/>
      <c r="L20" s="47"/>
      <c r="M20" s="47"/>
      <c r="N20" s="47"/>
      <c r="O20" s="47"/>
      <c r="P20" s="47"/>
      <c r="Q20" s="47"/>
      <c r="R20" s="3"/>
      <c r="S20" s="47"/>
      <c r="T20" s="3"/>
      <c r="U20" s="47"/>
      <c r="V20" s="3"/>
      <c r="W20" s="3"/>
      <c r="X20" s="3"/>
      <c r="Y20" s="3"/>
      <c r="Z20" s="3"/>
      <c r="AA20" s="3"/>
      <c r="AB20" s="3"/>
      <c r="AC20" s="3"/>
      <c r="AD20" s="3"/>
      <c r="AE20" s="3"/>
      <c r="AF20" s="3"/>
      <c r="AG20" s="3"/>
      <c r="AH20" s="3"/>
    </row>
    <row r="21" spans="1:34" s="102" customFormat="1" ht="14.45" customHeight="1">
      <c r="A21" s="3"/>
      <c r="B21" s="3"/>
      <c r="C21" s="24"/>
      <c r="D21" s="47"/>
      <c r="E21" s="47"/>
      <c r="F21" s="47"/>
      <c r="G21" s="47"/>
      <c r="H21" s="47"/>
      <c r="I21" s="47"/>
      <c r="J21" s="47"/>
      <c r="K21" s="47"/>
      <c r="L21" s="47"/>
      <c r="M21" s="47"/>
      <c r="N21" s="47"/>
      <c r="O21" s="70"/>
      <c r="P21" s="47"/>
      <c r="Q21" s="47"/>
      <c r="R21" s="3"/>
      <c r="S21" s="47"/>
      <c r="T21" s="3"/>
      <c r="U21" s="47"/>
      <c r="V21" s="3"/>
      <c r="W21" s="3"/>
      <c r="X21" s="3"/>
      <c r="Y21" s="3"/>
      <c r="Z21" s="3"/>
      <c r="AA21" s="3"/>
      <c r="AB21" s="3"/>
      <c r="AC21" s="3"/>
      <c r="AD21" s="3"/>
      <c r="AE21" s="3"/>
      <c r="AF21" s="3"/>
      <c r="AG21" s="3"/>
      <c r="AH21" s="3"/>
    </row>
    <row r="22" spans="1:34" s="102" customFormat="1" ht="14.45" customHeight="1">
      <c r="A22" s="3"/>
      <c r="B22" s="47"/>
      <c r="C22" s="3"/>
      <c r="D22" s="47"/>
      <c r="E22" s="47"/>
      <c r="F22" s="47"/>
      <c r="G22" s="47"/>
      <c r="H22" s="47"/>
      <c r="I22" s="47"/>
      <c r="J22" s="47"/>
      <c r="K22" s="47"/>
      <c r="L22" s="47"/>
      <c r="M22" s="47"/>
      <c r="N22" s="47"/>
      <c r="O22" s="47"/>
      <c r="P22" s="47"/>
      <c r="Q22" s="47"/>
      <c r="R22" s="3"/>
      <c r="S22" s="47"/>
      <c r="T22" s="3"/>
      <c r="U22" s="47"/>
      <c r="V22" s="3"/>
      <c r="W22" s="3"/>
      <c r="X22" s="3"/>
      <c r="Y22" s="3"/>
      <c r="Z22" s="3"/>
      <c r="AA22" s="3"/>
      <c r="AB22" s="3"/>
      <c r="AC22" s="3"/>
      <c r="AD22" s="3"/>
      <c r="AE22" s="3"/>
      <c r="AF22" s="3"/>
      <c r="AG22" s="3"/>
      <c r="AH22" s="3"/>
    </row>
    <row r="23" spans="1:34" s="102" customFormat="1" ht="14.45" customHeight="1">
      <c r="A23" s="3"/>
      <c r="B23" s="47"/>
      <c r="C23" s="47"/>
      <c r="D23" s="3"/>
      <c r="E23" s="3"/>
      <c r="F23" s="3"/>
      <c r="G23" s="47"/>
      <c r="H23" s="47"/>
      <c r="I23" s="47"/>
      <c r="J23" s="47"/>
      <c r="K23" s="47"/>
      <c r="L23" s="47"/>
      <c r="M23" s="47"/>
      <c r="N23" s="47"/>
      <c r="O23" s="47"/>
      <c r="P23" s="47"/>
      <c r="Q23" s="47"/>
      <c r="R23" s="3"/>
      <c r="S23" s="47"/>
      <c r="T23" s="3"/>
      <c r="U23" s="47"/>
      <c r="V23" s="3"/>
      <c r="W23" s="3"/>
      <c r="X23" s="3"/>
      <c r="Y23" s="3"/>
      <c r="Z23" s="3"/>
      <c r="AA23" s="3"/>
      <c r="AB23" s="3"/>
      <c r="AC23" s="3"/>
      <c r="AD23" s="3"/>
      <c r="AE23" s="3"/>
      <c r="AF23" s="3"/>
      <c r="AG23" s="3"/>
      <c r="AH23" s="3"/>
    </row>
    <row r="24" spans="1:34" s="102" customFormat="1" ht="14.45" customHeight="1">
      <c r="A24" s="3"/>
      <c r="B24" s="47"/>
      <c r="C24" s="47"/>
      <c r="D24" s="47"/>
      <c r="E24" s="47"/>
      <c r="F24" s="47"/>
      <c r="G24" s="47"/>
      <c r="H24" s="47"/>
      <c r="I24" s="47"/>
      <c r="J24" s="47"/>
      <c r="K24" s="47"/>
      <c r="L24" s="47"/>
      <c r="M24" s="47"/>
      <c r="N24" s="47"/>
      <c r="O24" s="47"/>
      <c r="P24" s="47"/>
      <c r="Q24" s="47"/>
      <c r="R24" s="3"/>
      <c r="S24" s="47"/>
      <c r="T24" s="3"/>
      <c r="U24" s="47"/>
      <c r="V24" s="3"/>
      <c r="W24" s="3"/>
      <c r="X24" s="3"/>
      <c r="Y24" s="3"/>
      <c r="Z24" s="3"/>
      <c r="AA24" s="3"/>
      <c r="AB24" s="3"/>
      <c r="AC24" s="3"/>
      <c r="AD24" s="3"/>
      <c r="AE24" s="3"/>
      <c r="AF24" s="3"/>
      <c r="AG24" s="3"/>
      <c r="AH24" s="3"/>
    </row>
    <row r="25" spans="1:34" s="102" customFormat="1" ht="14.45" customHeight="1">
      <c r="A25" s="3"/>
      <c r="B25" s="47"/>
      <c r="C25" s="3"/>
      <c r="D25" s="47"/>
      <c r="E25" s="47"/>
      <c r="F25" s="47"/>
      <c r="G25" s="47"/>
      <c r="H25" s="47"/>
      <c r="I25" s="47"/>
      <c r="J25" s="47"/>
      <c r="K25" s="47"/>
      <c r="L25" s="47"/>
      <c r="M25" s="47"/>
      <c r="N25" s="47"/>
      <c r="O25" s="47"/>
      <c r="P25" s="47"/>
      <c r="Q25" s="47"/>
      <c r="R25" s="3"/>
      <c r="S25" s="47"/>
      <c r="T25" s="3"/>
      <c r="U25" s="47"/>
      <c r="V25" s="3"/>
      <c r="W25" s="3"/>
      <c r="X25" s="3"/>
      <c r="Y25" s="3"/>
      <c r="Z25" s="3"/>
      <c r="AA25" s="3"/>
      <c r="AB25" s="3"/>
      <c r="AC25" s="3"/>
      <c r="AD25" s="3"/>
      <c r="AE25" s="3"/>
      <c r="AF25" s="3"/>
      <c r="AG25" s="3"/>
      <c r="AH25" s="3"/>
    </row>
    <row r="26" spans="1:34" s="102" customFormat="1" ht="14.45" customHeight="1">
      <c r="A26" s="3"/>
      <c r="B26" s="47"/>
      <c r="C26" s="47"/>
      <c r="D26" s="47"/>
      <c r="E26" s="47"/>
      <c r="F26" s="47"/>
      <c r="G26" s="47"/>
      <c r="H26" s="47"/>
      <c r="I26" s="47"/>
      <c r="J26" s="47"/>
      <c r="K26" s="47"/>
      <c r="L26" s="47"/>
      <c r="M26" s="47"/>
      <c r="N26" s="47"/>
      <c r="O26" s="47"/>
      <c r="P26" s="47"/>
      <c r="Q26" s="47"/>
      <c r="R26" s="3"/>
      <c r="S26" s="47"/>
      <c r="T26" s="3"/>
      <c r="U26" s="47"/>
      <c r="V26" s="3"/>
      <c r="W26" s="3"/>
      <c r="X26" s="3"/>
      <c r="Y26" s="3"/>
      <c r="Z26" s="3"/>
      <c r="AA26" s="3"/>
      <c r="AB26" s="3"/>
      <c r="AC26" s="3"/>
      <c r="AD26" s="3"/>
      <c r="AE26" s="3"/>
      <c r="AF26" s="3"/>
      <c r="AG26" s="3"/>
      <c r="AH26" s="3"/>
    </row>
    <row r="27" spans="1:34" s="102" customFormat="1" ht="14.45" customHeight="1">
      <c r="A27" s="3"/>
      <c r="B27" s="47"/>
      <c r="C27" s="47"/>
      <c r="D27" s="47"/>
      <c r="E27" s="47"/>
      <c r="F27" s="47"/>
      <c r="G27" s="47"/>
      <c r="H27" s="47"/>
      <c r="I27" s="54"/>
      <c r="J27" s="47"/>
      <c r="K27" s="47"/>
      <c r="L27" s="47"/>
      <c r="M27" s="47"/>
      <c r="N27" s="47"/>
      <c r="O27" s="47"/>
      <c r="P27" s="47"/>
      <c r="Q27" s="47"/>
      <c r="R27" s="47"/>
      <c r="S27" s="3"/>
      <c r="T27" s="47"/>
      <c r="U27" s="3"/>
      <c r="V27" s="3"/>
      <c r="W27" s="3"/>
      <c r="X27" s="3"/>
      <c r="Y27" s="3"/>
      <c r="Z27" s="3"/>
      <c r="AA27" s="3"/>
      <c r="AB27" s="3"/>
      <c r="AC27" s="3"/>
      <c r="AD27" s="3"/>
      <c r="AE27" s="3"/>
      <c r="AF27" s="3"/>
      <c r="AG27" s="3"/>
      <c r="AH27" s="3"/>
    </row>
    <row r="28" spans="1:34" s="102" customFormat="1" ht="14.45" customHeight="1">
      <c r="A28" s="3"/>
      <c r="B28" s="47"/>
      <c r="C28" s="3"/>
      <c r="D28" s="3"/>
      <c r="E28" s="3"/>
      <c r="F28" s="3"/>
      <c r="G28" s="3"/>
      <c r="H28" s="3"/>
      <c r="I28" s="54"/>
      <c r="J28" s="3"/>
      <c r="K28" s="47"/>
      <c r="L28" s="3"/>
      <c r="M28" s="47"/>
      <c r="N28" s="3"/>
      <c r="O28" s="47"/>
      <c r="P28" s="3"/>
      <c r="Q28" s="47"/>
      <c r="R28" s="47"/>
      <c r="S28" s="3"/>
      <c r="T28" s="47"/>
      <c r="U28" s="3"/>
      <c r="V28" s="3"/>
      <c r="W28" s="3"/>
      <c r="X28" s="3"/>
      <c r="Y28" s="3"/>
      <c r="Z28" s="3"/>
      <c r="AA28" s="3"/>
      <c r="AB28" s="3"/>
      <c r="AC28" s="3"/>
      <c r="AD28" s="3"/>
      <c r="AE28" s="3"/>
      <c r="AF28" s="3"/>
      <c r="AG28" s="3"/>
      <c r="AH28" s="3"/>
    </row>
    <row r="29" spans="1:34" s="102" customFormat="1" ht="14.45" customHeight="1">
      <c r="A29" s="3"/>
      <c r="B29" s="47"/>
      <c r="C29" s="3"/>
      <c r="D29" s="3"/>
      <c r="E29" s="3"/>
      <c r="F29" s="3"/>
      <c r="G29" s="3"/>
      <c r="H29" s="3"/>
      <c r="I29" s="47"/>
      <c r="J29" s="47"/>
      <c r="K29" s="47"/>
      <c r="L29" s="47"/>
      <c r="M29" s="47"/>
      <c r="N29" s="47"/>
      <c r="O29" s="47"/>
      <c r="P29" s="47"/>
      <c r="Q29" s="47"/>
      <c r="R29" s="47"/>
      <c r="S29" s="3"/>
      <c r="T29" s="47"/>
      <c r="U29" s="3"/>
      <c r="V29" s="3"/>
      <c r="W29" s="3"/>
      <c r="X29" s="3"/>
      <c r="Y29" s="3"/>
      <c r="Z29" s="3"/>
      <c r="AA29" s="3"/>
      <c r="AB29" s="3"/>
      <c r="AC29" s="3"/>
      <c r="AD29" s="3"/>
      <c r="AE29" s="3"/>
      <c r="AF29" s="3"/>
      <c r="AG29" s="3"/>
      <c r="AH29" s="3"/>
    </row>
    <row r="30" spans="1:34" s="104" customFormat="1" ht="20.25" customHeight="1">
      <c r="A30" s="4"/>
      <c r="B30" s="25"/>
      <c r="C30" s="4"/>
      <c r="D30" s="4"/>
      <c r="E30" s="4"/>
      <c r="F30" s="4"/>
      <c r="G30" s="467" t="str">
        <f>Name_form</f>
        <v>Product</v>
      </c>
      <c r="H30" s="468"/>
      <c r="I30" s="473" t="str">
        <f ca="1">IF(AND(B3&lt;&gt;"Passive",Active1=TRUE),INDEX(Active[Name],1),"")</f>
        <v/>
      </c>
      <c r="J30" s="473"/>
      <c r="K30" s="473" t="str">
        <f ca="1">IF(AND(B3&lt;&gt;"Passive",Active2=TRUE),INDEX(Active[Name],2),"")</f>
        <v/>
      </c>
      <c r="L30" s="473"/>
      <c r="M30" s="473" t="str">
        <f ca="1">IF(AND(B3&lt;&gt;"Passive",Active3=TRUE),INDEX(Active[Name],3),"")</f>
        <v/>
      </c>
      <c r="N30" s="473"/>
      <c r="O30" s="474" t="str">
        <f ca="1">IF(AND(B3&lt;&gt;"Passive",Active4=TRUE),INDEX(Active[Name],4),"")</f>
        <v/>
      </c>
      <c r="P30" s="474"/>
      <c r="Q30" s="474" t="str">
        <f ca="1">IF(AND(B3&lt;&gt;"Passive",Active5=TRUE),INDEX(Active[Name],5),"")</f>
        <v/>
      </c>
      <c r="R30" s="474"/>
      <c r="S30" s="173"/>
      <c r="T30" s="4"/>
      <c r="U30" s="4"/>
      <c r="V30" s="4"/>
      <c r="W30" s="4"/>
      <c r="X30" s="4"/>
      <c r="Y30" s="4"/>
      <c r="Z30" s="4"/>
      <c r="AA30" s="4"/>
      <c r="AB30" s="4"/>
      <c r="AC30" s="4"/>
      <c r="AD30" s="4"/>
      <c r="AE30" s="4"/>
      <c r="AF30" s="4"/>
      <c r="AG30" s="4"/>
      <c r="AH30" s="4"/>
    </row>
    <row r="31" spans="1:34" s="105" customFormat="1" ht="29.25" customHeight="1">
      <c r="A31" s="55"/>
      <c r="B31" s="338" t="s">
        <v>203</v>
      </c>
      <c r="C31" s="99" t="s">
        <v>91</v>
      </c>
      <c r="D31" s="98" t="s">
        <v>92</v>
      </c>
      <c r="E31" s="98" t="s">
        <v>93</v>
      </c>
      <c r="F31" s="100" t="s">
        <v>204</v>
      </c>
      <c r="G31" s="199" t="s">
        <v>205</v>
      </c>
      <c r="H31" s="200" t="str">
        <f>IF(B_ChronicScheme = "C(mix)", "TERlt", "HIsum")</f>
        <v>HIsum</v>
      </c>
      <c r="I31" s="201" t="s">
        <v>206</v>
      </c>
      <c r="J31" s="201" t="s">
        <v>207</v>
      </c>
      <c r="K31" s="201" t="s">
        <v>208</v>
      </c>
      <c r="L31" s="201" t="s">
        <v>207</v>
      </c>
      <c r="M31" s="201" t="s">
        <v>208</v>
      </c>
      <c r="N31" s="201" t="s">
        <v>207</v>
      </c>
      <c r="O31" s="201" t="s">
        <v>208</v>
      </c>
      <c r="P31" s="201" t="s">
        <v>207</v>
      </c>
      <c r="Q31" s="201" t="s">
        <v>208</v>
      </c>
      <c r="R31" s="201" t="s">
        <v>207</v>
      </c>
      <c r="S31" s="202"/>
      <c r="T31" s="55"/>
      <c r="U31" s="55"/>
      <c r="V31" s="55"/>
      <c r="W31" s="55"/>
      <c r="X31" s="55"/>
      <c r="Y31" s="55"/>
      <c r="Z31" s="55"/>
      <c r="AA31" s="55"/>
      <c r="AB31" s="55"/>
      <c r="AC31" s="55"/>
      <c r="AD31" s="55"/>
      <c r="AE31" s="55"/>
      <c r="AF31" s="55"/>
      <c r="AG31" s="55"/>
      <c r="AH31" s="55"/>
    </row>
    <row r="32" spans="1:34" s="106" customFormat="1" ht="16.5" customHeight="1">
      <c r="A32" s="56"/>
      <c r="B32" s="314" t="str">
        <f t="shared" ref="B32:B63" ca="1" si="0">IF(AND($B$3="Active",ISNUMBER(I32)),"Input provided","No input")</f>
        <v>No input</v>
      </c>
      <c r="C32" s="72" t="s">
        <v>99</v>
      </c>
      <c r="D32" s="73" t="s">
        <v>100</v>
      </c>
      <c r="E32" s="73" t="s">
        <v>209</v>
      </c>
      <c r="F32" s="113">
        <v>11.4</v>
      </c>
      <c r="G32" s="203" t="str">
        <f ca="1">IF(AND(Bird_Chronic[[#This Row],[Relevance]]="Input provided", Count&gt;=1),
       IF(B_ChronicScheme="C(mix)",
                 HLOOKUP(Bird_Chronic[[#This Row],[Crop]], Input_Scenario,10,FALSE)*Bird_Chronic[[#This Row],[SVm]]*HLOOKUP(Bird_Chronic[[#This Row],[Crop]],Input_Scenario,8,FALSE),""),"")</f>
        <v/>
      </c>
      <c r="H32" s="368" t="str">
        <f>IF(Count&gt;=1,
       IF(AND(B_ChronicScheme ="C(mix)", ISNUMBER(G32)), (B_NOAEL_form/G32),
       IF(AND(B_ChronicScheme = "HIsum", Count &gt; 1),
            IF(ISNUMBER(J32), IF(ISNUMBER(J32), 5/J32, 0) + IF(ISNUMBER(L32), 5/L32, 0) + IF(ISNUMBER(N32), 5/N32, 0) + IF(ISNUMBER(P32), 5/P32, 0) + IF(ISNUMBER(R32), 5/R32, 0),""), "")),"")</f>
        <v/>
      </c>
      <c r="I32" s="369" t="str">
        <f>IFERROR(IF(Active1=TRUE,HLOOKUP(Bird_Chronic[[#This Row],[Crop]],Input_Scenario,11,FALSE)*HLOOKUP(Bird_Chronic[[#This Row],[Crop]],Input_Scenario,8,FALSE)*Bird_Chronic[[#This Row],[SVm]],""),"")</f>
        <v/>
      </c>
      <c r="J32" s="370" t="str">
        <f>IFERROR(IF(ISNUMBER(INDEX(Active[B_NOAEL], 1)),
                          INDEX(Active[B_NOAEL], 1)/I32,""),"")</f>
        <v/>
      </c>
      <c r="K32" s="370" t="str">
        <f>IFERROR(IF(Active2=TRUE,HLOOKUP(Bird_Chronic[[#This Row],[Crop]],Input_Scenario,12,FALSE)*HLOOKUP(Bird_Chronic[[#This Row],[Crop]],Input_Scenario,8,FALSE)*Bird_Chronic[[#This Row],[SVm]],""),"")</f>
        <v/>
      </c>
      <c r="L32" s="370" t="str">
        <f>IFERROR(IF(ISNUMBER(INDEX(Active[B_NOAEL], 2)),
                          INDEX(Active[B_NOAEL], 2)/K32,""),"")</f>
        <v/>
      </c>
      <c r="M32" s="370" t="str">
        <f>IFERROR(IF(Active3=TRUE,HLOOKUP(Bird_Chronic[[#This Row],[Crop]],Input_Scenario,12,FALSE)*HLOOKUP(Bird_Chronic[[#This Row],[Crop]],Input_Scenario,8,FALSE)*Bird_Chronic[[#This Row],[SVm]],""),"")</f>
        <v/>
      </c>
      <c r="N32" s="370" t="str">
        <f>IFERROR(IF(ISNUMBER(INDEX(Active[B_NOAEL], 3)),
                          INDEX(Active[B_NOAEL], 3)/M32,""),"")</f>
        <v/>
      </c>
      <c r="O32" s="370" t="str">
        <f>IFERROR(IF(Active4=TRUE,HLOOKUP(Bird_Chronic[[#This Row],[Crop]],Input_Scenario,13,FALSE)*HLOOKUP(Bird_Chronic[[#This Row],[Crop]],Input_Scenario,8,FALSE)*Bird_Chronic[[#This Row],[SVm]],""),"")</f>
        <v/>
      </c>
      <c r="P32" s="370" t="str">
        <f>IFERROR(IF(ISNUMBER(INDEX(Active[B_NOAEL], 4)),
                          INDEX(Active[B_NOAEL], 4)/O32,""),"")</f>
        <v/>
      </c>
      <c r="Q32" s="370" t="str">
        <f>IFERROR(IF(Active5=TRUE,HLOOKUP(Bird_Chronic[[#This Row],[Crop]],Input_Scenario,14,FALSE)*HLOOKUP(Bird_Chronic[[#This Row],[Crop]],Input_Scenario,8,FALSE)*Bird_Chronic[[#This Row],[SVm]],""),"")</f>
        <v/>
      </c>
      <c r="R32" s="370" t="str">
        <f>IFERROR(IF(ISNUMBER(INDEX(Active[B_NOAEL], 5)),
                          INDEX(Active[B_NOAEL], 5)/Q32,""),"")</f>
        <v/>
      </c>
      <c r="S32" s="204"/>
      <c r="T32" s="56"/>
      <c r="U32" s="56"/>
      <c r="V32" s="56"/>
      <c r="W32" s="56"/>
      <c r="X32" s="56"/>
      <c r="Y32" s="56"/>
      <c r="Z32" s="56"/>
      <c r="AA32" s="56"/>
      <c r="AB32" s="56"/>
      <c r="AC32" s="56"/>
      <c r="AD32" s="56"/>
      <c r="AE32" s="56"/>
      <c r="AF32" s="56"/>
      <c r="AG32" s="56"/>
      <c r="AH32" s="56"/>
    </row>
    <row r="33" spans="1:34" s="106" customFormat="1" ht="16.5" customHeight="1">
      <c r="A33" s="56"/>
      <c r="B33" s="314" t="str">
        <f t="shared" ca="1" si="0"/>
        <v>No input</v>
      </c>
      <c r="C33" s="72" t="s">
        <v>99</v>
      </c>
      <c r="D33" s="73" t="s">
        <v>100</v>
      </c>
      <c r="E33" s="73" t="s">
        <v>210</v>
      </c>
      <c r="F33" s="113">
        <v>8.1999999999999993</v>
      </c>
      <c r="G33" s="203" t="str">
        <f ca="1">IF(AND(Bird_Chronic[[#This Row],[Relevance]]="Input provided", Count&gt;=1),
       IF(B_ChronicScheme="C(mix)",
                 HLOOKUP(Bird_Chronic[[#This Row],[Crop]], Input_Scenario,10,FALSE)*Bird_Chronic[[#This Row],[SVm]]*HLOOKUP(Bird_Chronic[[#This Row],[Crop]],Input_Scenario,8,FALSE),""),"")</f>
        <v/>
      </c>
      <c r="H33" s="368" t="str">
        <f>IF(Count&gt;=1,
       IF(AND(B_ChronicScheme ="C(mix)", ISNUMBER(G33)), (B_NOAEL_form/G33),
       IF(AND(B_ChronicScheme = "HIsum", Count &gt; 1),
            IF(ISNUMBER(J33), IF(ISNUMBER(J33), 5/J33, 0) + IF(ISNUMBER(L33), 5/L33, 0) + IF(ISNUMBER(N33), 5/N33, 0) + IF(ISNUMBER(P33), 5/P33, 0) + IF(ISNUMBER(R33), 5/R33, 0),""), "")),"")</f>
        <v/>
      </c>
      <c r="I33" s="370" t="str">
        <f>IFERROR(IF(Active1=TRUE,HLOOKUP(Bird_Chronic[[#This Row],[Crop]],Input_Scenario,11,FALSE)*HLOOKUP(Bird_Chronic[[#This Row],[Crop]],Input_Scenario,8,FALSE)*Bird_Chronic[[#This Row],[SVm]],""),"")</f>
        <v/>
      </c>
      <c r="J33" s="370" t="str">
        <f>IFERROR(IF(ISNUMBER(INDEX(Active[B_NOAEL], 1)),
                          INDEX(Active[B_NOAEL], 1)/I33,""),"")</f>
        <v/>
      </c>
      <c r="K33" s="370" t="str">
        <f>IFERROR(IF(Active2=TRUE,HLOOKUP(Bird_Chronic[[#This Row],[Crop]],Input_Scenario,12,FALSE)*HLOOKUP(Bird_Chronic[[#This Row],[Crop]],Input_Scenario,8,FALSE)*Bird_Chronic[[#This Row],[SVm]],""),"")</f>
        <v/>
      </c>
      <c r="L33" s="370" t="str">
        <f>IFERROR(IF(ISNUMBER(INDEX(Active[B_NOAEL], 2)),
                          INDEX(Active[B_NOAEL], 2)/K33,""),"")</f>
        <v/>
      </c>
      <c r="M33" s="370" t="str">
        <f>IFERROR(IF(Active3=TRUE,HLOOKUP(Bird_Chronic[[#This Row],[Crop]],Input_Scenario,12,FALSE)*HLOOKUP(Bird_Chronic[[#This Row],[Crop]],Input_Scenario,8,FALSE)*Bird_Chronic[[#This Row],[SVm]],""),"")</f>
        <v/>
      </c>
      <c r="N33" s="370" t="str">
        <f>IFERROR(IF(ISNUMBER(INDEX(Active[B_NOAEL], 3)),
                          INDEX(Active[B_NOAEL], 3)/M33,""),"")</f>
        <v/>
      </c>
      <c r="O33" s="370" t="str">
        <f>IFERROR(IF(Active4=TRUE,HLOOKUP(Bird_Chronic[[#This Row],[Crop]],Input_Scenario,13,FALSE)*HLOOKUP(Bird_Chronic[[#This Row],[Crop]],Input_Scenario,8,FALSE)*Bird_Chronic[[#This Row],[SVm]],""),"")</f>
        <v/>
      </c>
      <c r="P33" s="370" t="str">
        <f>IFERROR(IF(ISNUMBER(INDEX(Active[B_NOAEL], 4)),
                          INDEX(Active[B_NOAEL], 4)/O33,""),"")</f>
        <v/>
      </c>
      <c r="Q33" s="370" t="str">
        <f>IFERROR(IF(Active5=TRUE,HLOOKUP(Bird_Chronic[[#This Row],[Crop]],Input_Scenario,14,FALSE)*HLOOKUP(Bird_Chronic[[#This Row],[Crop]],Input_Scenario,8,FALSE)*Bird_Chronic[[#This Row],[SVm]],""),"")</f>
        <v/>
      </c>
      <c r="R33" s="370" t="str">
        <f>IFERROR(IF(ISNUMBER(INDEX(Active[B_NOAEL], 5)),
                          INDEX(Active[B_NOAEL], 5)/Q33,""),"")</f>
        <v/>
      </c>
      <c r="S33" s="204"/>
      <c r="T33" s="56"/>
      <c r="U33" s="56"/>
      <c r="V33" s="56"/>
      <c r="W33" s="56"/>
      <c r="X33" s="56"/>
      <c r="Y33" s="56"/>
      <c r="Z33" s="56"/>
      <c r="AA33" s="56"/>
      <c r="AB33" s="56"/>
      <c r="AC33" s="56"/>
      <c r="AD33" s="56"/>
      <c r="AE33" s="56"/>
      <c r="AF33" s="56"/>
      <c r="AG33" s="56"/>
      <c r="AH33" s="56"/>
    </row>
    <row r="34" spans="1:34" s="106" customFormat="1" ht="16.5" customHeight="1">
      <c r="A34" s="56"/>
      <c r="B34" s="314" t="str">
        <f t="shared" ca="1" si="0"/>
        <v>No input</v>
      </c>
      <c r="C34" s="72" t="s">
        <v>99</v>
      </c>
      <c r="D34" s="73" t="s">
        <v>100</v>
      </c>
      <c r="E34" s="73" t="s">
        <v>211</v>
      </c>
      <c r="F34" s="113">
        <v>5.9</v>
      </c>
      <c r="G34" s="203" t="str">
        <f ca="1">IF(AND(Bird_Chronic[[#This Row],[Relevance]]="Input provided", Count&gt;=1),
       IF(B_ChronicScheme="C(mix)",
                 HLOOKUP(Bird_Chronic[[#This Row],[Crop]], Input_Scenario,10,FALSE)*Bird_Chronic[[#This Row],[SVm]]*HLOOKUP(Bird_Chronic[[#This Row],[Crop]],Input_Scenario,8,FALSE),""),"")</f>
        <v/>
      </c>
      <c r="H34" s="368" t="str">
        <f>IF(Count&gt;=1,
       IF(AND(B_ChronicScheme ="C(mix)", ISNUMBER(G34)), (B_NOAEL_form/G34),
       IF(AND(B_ChronicScheme = "HIsum", Count &gt; 1),
            IF(ISNUMBER(J34), IF(ISNUMBER(J34), 5/J34, 0) + IF(ISNUMBER(L34), 5/L34, 0) + IF(ISNUMBER(N34), 5/N34, 0) + IF(ISNUMBER(P34), 5/P34, 0) + IF(ISNUMBER(R34), 5/R34, 0),""), "")),"")</f>
        <v/>
      </c>
      <c r="I34" s="370" t="str">
        <f>IFERROR(IF(Active1=TRUE,HLOOKUP(Bird_Chronic[[#This Row],[Crop]],Input_Scenario,11,FALSE)*HLOOKUP(Bird_Chronic[[#This Row],[Crop]],Input_Scenario,8,FALSE)*Bird_Chronic[[#This Row],[SVm]],""),"")</f>
        <v/>
      </c>
      <c r="J34" s="370" t="str">
        <f>IFERROR(IF(ISNUMBER(INDEX(Active[B_NOAEL], 1)),
                          INDEX(Active[B_NOAEL], 1)/I34,""),"")</f>
        <v/>
      </c>
      <c r="K34" s="370" t="str">
        <f>IFERROR(IF(Active2=TRUE,HLOOKUP(Bird_Chronic[[#This Row],[Crop]],Input_Scenario,12,FALSE)*HLOOKUP(Bird_Chronic[[#This Row],[Crop]],Input_Scenario,8,FALSE)*Bird_Chronic[[#This Row],[SVm]],""),"")</f>
        <v/>
      </c>
      <c r="L34" s="370" t="str">
        <f>IFERROR(IF(ISNUMBER(INDEX(Active[B_NOAEL], 2)),
                          INDEX(Active[B_NOAEL], 2)/K34,""),"")</f>
        <v/>
      </c>
      <c r="M34" s="370" t="str">
        <f>IFERROR(IF(Active3=TRUE,HLOOKUP(Bird_Chronic[[#This Row],[Crop]],Input_Scenario,12,FALSE)*HLOOKUP(Bird_Chronic[[#This Row],[Crop]],Input_Scenario,8,FALSE)*Bird_Chronic[[#This Row],[SVm]],""),"")</f>
        <v/>
      </c>
      <c r="N34" s="370" t="str">
        <f>IFERROR(IF(ISNUMBER(INDEX(Active[B_NOAEL], 3)),
                          INDEX(Active[B_NOAEL], 3)/M34,""),"")</f>
        <v/>
      </c>
      <c r="O34" s="370" t="str">
        <f>IFERROR(IF(Active4=TRUE,HLOOKUP(Bird_Chronic[[#This Row],[Crop]],Input_Scenario,13,FALSE)*HLOOKUP(Bird_Chronic[[#This Row],[Crop]],Input_Scenario,8,FALSE)*Bird_Chronic[[#This Row],[SVm]],""),"")</f>
        <v/>
      </c>
      <c r="P34" s="370" t="str">
        <f>IFERROR(IF(ISNUMBER(INDEX(Active[B_NOAEL], 4)),
                          INDEX(Active[B_NOAEL], 4)/O34,""),"")</f>
        <v/>
      </c>
      <c r="Q34" s="370" t="str">
        <f>IFERROR(IF(Active5=TRUE,HLOOKUP(Bird_Chronic[[#This Row],[Crop]],Input_Scenario,14,FALSE)*HLOOKUP(Bird_Chronic[[#This Row],[Crop]],Input_Scenario,8,FALSE)*Bird_Chronic[[#This Row],[SVm]],""),"")</f>
        <v/>
      </c>
      <c r="R34" s="370" t="str">
        <f>IFERROR(IF(ISNUMBER(INDEX(Active[B_NOAEL], 5)),
                          INDEX(Active[B_NOAEL], 5)/Q34,""),"")</f>
        <v/>
      </c>
      <c r="S34" s="204"/>
      <c r="T34" s="56"/>
      <c r="U34" s="56"/>
      <c r="V34" s="56"/>
      <c r="W34" s="56"/>
      <c r="X34" s="56"/>
      <c r="Y34" s="56"/>
      <c r="Z34" s="56"/>
      <c r="AA34" s="56"/>
      <c r="AB34" s="56"/>
      <c r="AC34" s="56"/>
      <c r="AD34" s="56"/>
      <c r="AE34" s="56"/>
      <c r="AF34" s="56"/>
      <c r="AG34" s="56"/>
      <c r="AH34" s="56"/>
    </row>
    <row r="35" spans="1:34" s="106" customFormat="1" ht="16.5" customHeight="1">
      <c r="A35" s="56"/>
      <c r="B35" s="314" t="str">
        <f t="shared" ca="1" si="0"/>
        <v>No input</v>
      </c>
      <c r="C35" s="72" t="s">
        <v>107</v>
      </c>
      <c r="D35" s="73" t="s">
        <v>108</v>
      </c>
      <c r="E35" s="73" t="s">
        <v>211</v>
      </c>
      <c r="F35" s="113">
        <v>11.3</v>
      </c>
      <c r="G35" s="203" t="str">
        <f ca="1">IF(AND(Bird_Chronic[[#This Row],[Relevance]]="Input provided", Count&gt;=1),
       IF(B_ChronicScheme="C(mix)",
                 HLOOKUP(Bird_Chronic[[#This Row],[Crop]], Input_Scenario,10,FALSE)*Bird_Chronic[[#This Row],[SVm]]*HLOOKUP(Bird_Chronic[[#This Row],[Crop]],Input_Scenario,8,FALSE),""),"")</f>
        <v/>
      </c>
      <c r="H35" s="368" t="str">
        <f>IF(Count&gt;=1,
       IF(AND(B_ChronicScheme ="C(mix)", ISNUMBER(G35)), (B_NOAEL_form/G35),
       IF(AND(B_ChronicScheme = "HIsum", Count &gt; 1),
            IF(ISNUMBER(J35), IF(ISNUMBER(J35), 5/J35, 0) + IF(ISNUMBER(L35), 5/L35, 0) + IF(ISNUMBER(N35), 5/N35, 0) + IF(ISNUMBER(P35), 5/P35, 0) + IF(ISNUMBER(R35), 5/R35, 0),""), "")),"")</f>
        <v/>
      </c>
      <c r="I35" s="370" t="str">
        <f>IFERROR(IF(Active1=TRUE,HLOOKUP(Bird_Chronic[[#This Row],[Crop]],Input_Scenario,11,FALSE)*HLOOKUP(Bird_Chronic[[#This Row],[Crop]],Input_Scenario,8,FALSE)*Bird_Chronic[[#This Row],[SVm]],""),"")</f>
        <v/>
      </c>
      <c r="J35" s="370" t="str">
        <f>IFERROR(IF(ISNUMBER(INDEX(Active[B_NOAEL], 1)),
                          INDEX(Active[B_NOAEL], 1)/I35,""),"")</f>
        <v/>
      </c>
      <c r="K35" s="370" t="str">
        <f>IFERROR(IF(Active2=TRUE,HLOOKUP(Bird_Chronic[[#This Row],[Crop]],Input_Scenario,12,FALSE)*HLOOKUP(Bird_Chronic[[#This Row],[Crop]],Input_Scenario,8,FALSE)*Bird_Chronic[[#This Row],[SVm]],""),"")</f>
        <v/>
      </c>
      <c r="L35" s="370" t="str">
        <f>IFERROR(IF(ISNUMBER(INDEX(Active[B_NOAEL], 2)),
                          INDEX(Active[B_NOAEL], 2)/K35,""),"")</f>
        <v/>
      </c>
      <c r="M35" s="370" t="str">
        <f>IFERROR(IF(Active3=TRUE,HLOOKUP(Bird_Chronic[[#This Row],[Crop]],Input_Scenario,12,FALSE)*HLOOKUP(Bird_Chronic[[#This Row],[Crop]],Input_Scenario,8,FALSE)*Bird_Chronic[[#This Row],[SVm]],""),"")</f>
        <v/>
      </c>
      <c r="N35" s="370" t="str">
        <f>IFERROR(IF(ISNUMBER(INDEX(Active[B_NOAEL], 3)),
                          INDEX(Active[B_NOAEL], 3)/M35,""),"")</f>
        <v/>
      </c>
      <c r="O35" s="370" t="str">
        <f>IFERROR(IF(Active4=TRUE,HLOOKUP(Bird_Chronic[[#This Row],[Crop]],Input_Scenario,13,FALSE)*HLOOKUP(Bird_Chronic[[#This Row],[Crop]],Input_Scenario,8,FALSE)*Bird_Chronic[[#This Row],[SVm]],""),"")</f>
        <v/>
      </c>
      <c r="P35" s="370" t="str">
        <f>IFERROR(IF(ISNUMBER(INDEX(Active[B_NOAEL], 4)),
                          INDEX(Active[B_NOAEL], 4)/O35,""),"")</f>
        <v/>
      </c>
      <c r="Q35" s="370" t="str">
        <f>IFERROR(IF(Active5=TRUE,HLOOKUP(Bird_Chronic[[#This Row],[Crop]],Input_Scenario,14,FALSE)*HLOOKUP(Bird_Chronic[[#This Row],[Crop]],Input_Scenario,8,FALSE)*Bird_Chronic[[#This Row],[SVm]],""),"")</f>
        <v/>
      </c>
      <c r="R35" s="370" t="str">
        <f>IFERROR(IF(ISNUMBER(INDEX(Active[B_NOAEL], 5)),
                          INDEX(Active[B_NOAEL], 5)/Q35,""),"")</f>
        <v/>
      </c>
      <c r="S35" s="204"/>
      <c r="T35" s="56"/>
      <c r="U35" s="56"/>
      <c r="V35" s="56"/>
      <c r="W35" s="56"/>
      <c r="X35" s="56"/>
      <c r="Y35" s="56"/>
      <c r="Z35" s="56"/>
      <c r="AA35" s="56"/>
      <c r="AB35" s="56"/>
      <c r="AC35" s="56"/>
      <c r="AD35" s="56"/>
      <c r="AE35" s="56"/>
      <c r="AF35" s="56"/>
      <c r="AG35" s="56"/>
      <c r="AH35" s="56"/>
    </row>
    <row r="36" spans="1:34" s="106" customFormat="1" ht="16.5" customHeight="1">
      <c r="A36" s="56"/>
      <c r="B36" s="314" t="str">
        <f t="shared" ca="1" si="0"/>
        <v>No input</v>
      </c>
      <c r="C36" s="72" t="s">
        <v>107</v>
      </c>
      <c r="D36" s="73" t="s">
        <v>109</v>
      </c>
      <c r="E36" s="73" t="s">
        <v>209</v>
      </c>
      <c r="F36" s="113">
        <v>6.9</v>
      </c>
      <c r="G36" s="203" t="str">
        <f ca="1">IF(AND(Bird_Chronic[[#This Row],[Relevance]]="Input provided", Count&gt;=1),
       IF(B_ChronicScheme="C(mix)",
                 HLOOKUP(Bird_Chronic[[#This Row],[Crop]], Input_Scenario,10,FALSE)*Bird_Chronic[[#This Row],[SVm]]*HLOOKUP(Bird_Chronic[[#This Row],[Crop]],Input_Scenario,8,FALSE),""),"")</f>
        <v/>
      </c>
      <c r="H36" s="368" t="str">
        <f>IF(Count&gt;=1,
       IF(AND(B_ChronicScheme ="C(mix)", ISNUMBER(G36)), (B_NOAEL_form/G36),
       IF(AND(B_ChronicScheme = "HIsum", Count &gt; 1),
            IF(ISNUMBER(J36), IF(ISNUMBER(J36), 5/J36, 0) + IF(ISNUMBER(L36), 5/L36, 0) + IF(ISNUMBER(N36), 5/N36, 0) + IF(ISNUMBER(P36), 5/P36, 0) + IF(ISNUMBER(R36), 5/R36, 0),""), "")),"")</f>
        <v/>
      </c>
      <c r="I36" s="370" t="str">
        <f>IFERROR(IF(Active1=TRUE,HLOOKUP(Bird_Chronic[[#This Row],[Crop]],Input_Scenario,11,FALSE)*HLOOKUP(Bird_Chronic[[#This Row],[Crop]],Input_Scenario,8,FALSE)*Bird_Chronic[[#This Row],[SVm]],""),"")</f>
        <v/>
      </c>
      <c r="J36" s="370" t="str">
        <f>IFERROR(IF(ISNUMBER(INDEX(Active[B_NOAEL], 1)),
                          INDEX(Active[B_NOAEL], 1)/I36,""),"")</f>
        <v/>
      </c>
      <c r="K36" s="370" t="str">
        <f>IFERROR(IF(Active2=TRUE,HLOOKUP(Bird_Chronic[[#This Row],[Crop]],Input_Scenario,12,FALSE)*HLOOKUP(Bird_Chronic[[#This Row],[Crop]],Input_Scenario,8,FALSE)*Bird_Chronic[[#This Row],[SVm]],""),"")</f>
        <v/>
      </c>
      <c r="L36" s="370" t="str">
        <f>IFERROR(IF(ISNUMBER(INDEX(Active[B_NOAEL], 2)),
                          INDEX(Active[B_NOAEL], 2)/K36,""),"")</f>
        <v/>
      </c>
      <c r="M36" s="370" t="str">
        <f>IFERROR(IF(Active3=TRUE,HLOOKUP(Bird_Chronic[[#This Row],[Crop]],Input_Scenario,12,FALSE)*HLOOKUP(Bird_Chronic[[#This Row],[Crop]],Input_Scenario,8,FALSE)*Bird_Chronic[[#This Row],[SVm]],""),"")</f>
        <v/>
      </c>
      <c r="N36" s="370" t="str">
        <f>IFERROR(IF(ISNUMBER(INDEX(Active[B_NOAEL], 3)),
                          INDEX(Active[B_NOAEL], 3)/M36,""),"")</f>
        <v/>
      </c>
      <c r="O36" s="370" t="str">
        <f>IFERROR(IF(Active4=TRUE,HLOOKUP(Bird_Chronic[[#This Row],[Crop]],Input_Scenario,13,FALSE)*HLOOKUP(Bird_Chronic[[#This Row],[Crop]],Input_Scenario,8,FALSE)*Bird_Chronic[[#This Row],[SVm]],""),"")</f>
        <v/>
      </c>
      <c r="P36" s="370" t="str">
        <f>IFERROR(IF(ISNUMBER(INDEX(Active[B_NOAEL], 4)),
                          INDEX(Active[B_NOAEL], 4)/O36,""),"")</f>
        <v/>
      </c>
      <c r="Q36" s="370" t="str">
        <f>IFERROR(IF(Active5=TRUE,HLOOKUP(Bird_Chronic[[#This Row],[Crop]],Input_Scenario,14,FALSE)*HLOOKUP(Bird_Chronic[[#This Row],[Crop]],Input_Scenario,8,FALSE)*Bird_Chronic[[#This Row],[SVm]],""),"")</f>
        <v/>
      </c>
      <c r="R36" s="370" t="str">
        <f>IFERROR(IF(ISNUMBER(INDEX(Active[B_NOAEL], 5)),
                          INDEX(Active[B_NOAEL], 5)/Q36,""),"")</f>
        <v/>
      </c>
      <c r="S36" s="204"/>
      <c r="T36" s="56"/>
      <c r="U36" s="56"/>
      <c r="V36" s="56"/>
      <c r="W36" s="56"/>
      <c r="X36" s="56"/>
      <c r="Y36" s="56"/>
      <c r="Z36" s="56"/>
      <c r="AA36" s="56"/>
      <c r="AB36" s="56"/>
      <c r="AC36" s="56"/>
      <c r="AD36" s="56"/>
      <c r="AE36" s="56"/>
      <c r="AF36" s="56"/>
      <c r="AG36" s="56"/>
      <c r="AH36" s="56"/>
    </row>
    <row r="37" spans="1:34" s="106" customFormat="1" ht="16.5" customHeight="1">
      <c r="A37" s="56"/>
      <c r="B37" s="314" t="str">
        <f t="shared" ca="1" si="0"/>
        <v>No input</v>
      </c>
      <c r="C37" s="72" t="s">
        <v>107</v>
      </c>
      <c r="D37" s="73" t="s">
        <v>110</v>
      </c>
      <c r="E37" s="73" t="s">
        <v>209</v>
      </c>
      <c r="F37" s="113">
        <v>11.4</v>
      </c>
      <c r="G37" s="203" t="str">
        <f ca="1">IF(AND(Bird_Chronic[[#This Row],[Relevance]]="Input provided", Count&gt;=1),
       IF(B_ChronicScheme="C(mix)",
                 HLOOKUP(Bird_Chronic[[#This Row],[Crop]], Input_Scenario,10,FALSE)*Bird_Chronic[[#This Row],[SVm]]*HLOOKUP(Bird_Chronic[[#This Row],[Crop]],Input_Scenario,8,FALSE),""),"")</f>
        <v/>
      </c>
      <c r="H37" s="368" t="str">
        <f>IF(Count&gt;=1,
       IF(AND(B_ChronicScheme ="C(mix)", ISNUMBER(G37)), (B_NOAEL_form/G37),
       IF(AND(B_ChronicScheme = "HIsum", Count &gt; 1),
            IF(ISNUMBER(J37), IF(ISNUMBER(J37), 5/J37, 0) + IF(ISNUMBER(L37), 5/L37, 0) + IF(ISNUMBER(N37), 5/N37, 0) + IF(ISNUMBER(P37), 5/P37, 0) + IF(ISNUMBER(R37), 5/R37, 0),""), "")),"")</f>
        <v/>
      </c>
      <c r="I37" s="370" t="str">
        <f>IFERROR(IF(Active1=TRUE,HLOOKUP(Bird_Chronic[[#This Row],[Crop]],Input_Scenario,11,FALSE)*HLOOKUP(Bird_Chronic[[#This Row],[Crop]],Input_Scenario,8,FALSE)*Bird_Chronic[[#This Row],[SVm]],""),"")</f>
        <v/>
      </c>
      <c r="J37" s="370" t="str">
        <f>IFERROR(IF(ISNUMBER(INDEX(Active[B_NOAEL], 1)),
                          INDEX(Active[B_NOAEL], 1)/I37,""),"")</f>
        <v/>
      </c>
      <c r="K37" s="370" t="str">
        <f>IFERROR(IF(Active2=TRUE,HLOOKUP(Bird_Chronic[[#This Row],[Crop]],Input_Scenario,12,FALSE)*HLOOKUP(Bird_Chronic[[#This Row],[Crop]],Input_Scenario,8,FALSE)*Bird_Chronic[[#This Row],[SVm]],""),"")</f>
        <v/>
      </c>
      <c r="L37" s="370" t="str">
        <f>IFERROR(IF(ISNUMBER(INDEX(Active[B_NOAEL], 2)),
                          INDEX(Active[B_NOAEL], 2)/K37,""),"")</f>
        <v/>
      </c>
      <c r="M37" s="370" t="str">
        <f>IFERROR(IF(Active3=TRUE,HLOOKUP(Bird_Chronic[[#This Row],[Crop]],Input_Scenario,12,FALSE)*HLOOKUP(Bird_Chronic[[#This Row],[Crop]],Input_Scenario,8,FALSE)*Bird_Chronic[[#This Row],[SVm]],""),"")</f>
        <v/>
      </c>
      <c r="N37" s="370" t="str">
        <f>IFERROR(IF(ISNUMBER(INDEX(Active[B_NOAEL], 3)),
                          INDEX(Active[B_NOAEL], 3)/M37,""),"")</f>
        <v/>
      </c>
      <c r="O37" s="370" t="str">
        <f>IFERROR(IF(Active4=TRUE,HLOOKUP(Bird_Chronic[[#This Row],[Crop]],Input_Scenario,13,FALSE)*HLOOKUP(Bird_Chronic[[#This Row],[Crop]],Input_Scenario,8,FALSE)*Bird_Chronic[[#This Row],[SVm]],""),"")</f>
        <v/>
      </c>
      <c r="P37" s="370" t="str">
        <f>IFERROR(IF(ISNUMBER(INDEX(Active[B_NOAEL], 4)),
                          INDEX(Active[B_NOAEL], 4)/O37,""),"")</f>
        <v/>
      </c>
      <c r="Q37" s="370" t="str">
        <f>IFERROR(IF(Active5=TRUE,HLOOKUP(Bird_Chronic[[#This Row],[Crop]],Input_Scenario,14,FALSE)*HLOOKUP(Bird_Chronic[[#This Row],[Crop]],Input_Scenario,8,FALSE)*Bird_Chronic[[#This Row],[SVm]],""),"")</f>
        <v/>
      </c>
      <c r="R37" s="370" t="str">
        <f>IFERROR(IF(ISNUMBER(INDEX(Active[B_NOAEL], 5)),
                          INDEX(Active[B_NOAEL], 5)/Q37,""),"")</f>
        <v/>
      </c>
      <c r="S37" s="204"/>
      <c r="T37" s="56"/>
      <c r="U37" s="56"/>
      <c r="V37" s="56"/>
      <c r="W37" s="56"/>
      <c r="X37" s="56"/>
      <c r="Y37" s="56"/>
      <c r="Z37" s="56"/>
      <c r="AA37" s="56"/>
      <c r="AB37" s="56"/>
      <c r="AC37" s="56"/>
      <c r="AD37" s="56"/>
      <c r="AE37" s="56"/>
      <c r="AF37" s="56"/>
      <c r="AG37" s="56"/>
      <c r="AH37" s="56"/>
    </row>
    <row r="38" spans="1:34" s="106" customFormat="1" ht="16.5" customHeight="1">
      <c r="A38" s="56"/>
      <c r="B38" s="314" t="str">
        <f t="shared" ca="1" si="0"/>
        <v>No input</v>
      </c>
      <c r="C38" s="72" t="s">
        <v>107</v>
      </c>
      <c r="D38" s="73" t="s">
        <v>109</v>
      </c>
      <c r="E38" s="73" t="s">
        <v>210</v>
      </c>
      <c r="F38" s="113">
        <v>6.5</v>
      </c>
      <c r="G38" s="203" t="str">
        <f ca="1">IF(AND(Bird_Chronic[[#This Row],[Relevance]]="Input provided", Count&gt;=1),
       IF(B_ChronicScheme="C(mix)",
                 HLOOKUP(Bird_Chronic[[#This Row],[Crop]], Input_Scenario,10,FALSE)*Bird_Chronic[[#This Row],[SVm]]*HLOOKUP(Bird_Chronic[[#This Row],[Crop]],Input_Scenario,8,FALSE),""),"")</f>
        <v/>
      </c>
      <c r="H38" s="368" t="str">
        <f>IF(Count&gt;=1,
       IF(AND(B_ChronicScheme ="C(mix)", ISNUMBER(G38)), (B_NOAEL_form/G38),
       IF(AND(B_ChronicScheme = "HIsum", Count &gt; 1),
            IF(ISNUMBER(J38), IF(ISNUMBER(J38), 5/J38, 0) + IF(ISNUMBER(L38), 5/L38, 0) + IF(ISNUMBER(N38), 5/N38, 0) + IF(ISNUMBER(P38), 5/P38, 0) + IF(ISNUMBER(R38), 5/R38, 0),""), "")),"")</f>
        <v/>
      </c>
      <c r="I38" s="370" t="str">
        <f>IFERROR(IF(Active1=TRUE,HLOOKUP(Bird_Chronic[[#This Row],[Crop]],Input_Scenario,11,FALSE)*HLOOKUP(Bird_Chronic[[#This Row],[Crop]],Input_Scenario,8,FALSE)*Bird_Chronic[[#This Row],[SVm]],""),"")</f>
        <v/>
      </c>
      <c r="J38" s="370" t="str">
        <f>IFERROR(IF(ISNUMBER(INDEX(Active[B_NOAEL], 1)),
                          INDEX(Active[B_NOAEL], 1)/I38,""),"")</f>
        <v/>
      </c>
      <c r="K38" s="370" t="str">
        <f>IFERROR(IF(Active2=TRUE,HLOOKUP(Bird_Chronic[[#This Row],[Crop]],Input_Scenario,12,FALSE)*HLOOKUP(Bird_Chronic[[#This Row],[Crop]],Input_Scenario,8,FALSE)*Bird_Chronic[[#This Row],[SVm]],""),"")</f>
        <v/>
      </c>
      <c r="L38" s="370" t="str">
        <f>IFERROR(IF(ISNUMBER(INDEX(Active[B_NOAEL], 2)),
                          INDEX(Active[B_NOAEL], 2)/K38,""),"")</f>
        <v/>
      </c>
      <c r="M38" s="370" t="str">
        <f>IFERROR(IF(Active3=TRUE,HLOOKUP(Bird_Chronic[[#This Row],[Crop]],Input_Scenario,12,FALSE)*HLOOKUP(Bird_Chronic[[#This Row],[Crop]],Input_Scenario,8,FALSE)*Bird_Chronic[[#This Row],[SVm]],""),"")</f>
        <v/>
      </c>
      <c r="N38" s="370" t="str">
        <f>IFERROR(IF(ISNUMBER(INDEX(Active[B_NOAEL], 3)),
                          INDEX(Active[B_NOAEL], 3)/M38,""),"")</f>
        <v/>
      </c>
      <c r="O38" s="370" t="str">
        <f>IFERROR(IF(Active4=TRUE,HLOOKUP(Bird_Chronic[[#This Row],[Crop]],Input_Scenario,13,FALSE)*HLOOKUP(Bird_Chronic[[#This Row],[Crop]],Input_Scenario,8,FALSE)*Bird_Chronic[[#This Row],[SVm]],""),"")</f>
        <v/>
      </c>
      <c r="P38" s="370" t="str">
        <f>IFERROR(IF(ISNUMBER(INDEX(Active[B_NOAEL], 4)),
                          INDEX(Active[B_NOAEL], 4)/O38,""),"")</f>
        <v/>
      </c>
      <c r="Q38" s="370" t="str">
        <f>IFERROR(IF(Active5=TRUE,HLOOKUP(Bird_Chronic[[#This Row],[Crop]],Input_Scenario,14,FALSE)*HLOOKUP(Bird_Chronic[[#This Row],[Crop]],Input_Scenario,8,FALSE)*Bird_Chronic[[#This Row],[SVm]],""),"")</f>
        <v/>
      </c>
      <c r="R38" s="370" t="str">
        <f>IFERROR(IF(ISNUMBER(INDEX(Active[B_NOAEL], 5)),
                          INDEX(Active[B_NOAEL], 5)/Q38,""),"")</f>
        <v/>
      </c>
      <c r="S38" s="204"/>
      <c r="T38" s="56"/>
      <c r="U38" s="56"/>
      <c r="V38" s="56"/>
      <c r="W38" s="56"/>
      <c r="X38" s="56"/>
      <c r="Y38" s="56"/>
      <c r="Z38" s="56"/>
      <c r="AA38" s="56"/>
      <c r="AB38" s="56"/>
      <c r="AC38" s="56"/>
      <c r="AD38" s="56"/>
      <c r="AE38" s="56"/>
      <c r="AF38" s="56"/>
      <c r="AG38" s="56"/>
      <c r="AH38" s="56"/>
    </row>
    <row r="39" spans="1:34" s="106" customFormat="1" ht="16.5" customHeight="1">
      <c r="A39" s="56"/>
      <c r="B39" s="314" t="str">
        <f t="shared" ca="1" si="0"/>
        <v>No input</v>
      </c>
      <c r="C39" s="72" t="s">
        <v>107</v>
      </c>
      <c r="D39" s="73" t="s">
        <v>110</v>
      </c>
      <c r="E39" s="73" t="s">
        <v>210</v>
      </c>
      <c r="F39" s="113">
        <v>10.9</v>
      </c>
      <c r="G39" s="203" t="str">
        <f ca="1">IF(AND(Bird_Chronic[[#This Row],[Relevance]]="Input provided", Count&gt;=1),
       IF(B_ChronicScheme="C(mix)",
                 HLOOKUP(Bird_Chronic[[#This Row],[Crop]], Input_Scenario,10,FALSE)*Bird_Chronic[[#This Row],[SVm]]*HLOOKUP(Bird_Chronic[[#This Row],[Crop]],Input_Scenario,8,FALSE),""),"")</f>
        <v/>
      </c>
      <c r="H39" s="368" t="str">
        <f>IF(Count&gt;=1,
       IF(AND(B_ChronicScheme ="C(mix)", ISNUMBER(G39)), (B_NOAEL_form/G39),
       IF(AND(B_ChronicScheme = "HIsum", Count &gt; 1),
            IF(ISNUMBER(J39), IF(ISNUMBER(J39), 5/J39, 0) + IF(ISNUMBER(L39), 5/L39, 0) + IF(ISNUMBER(N39), 5/N39, 0) + IF(ISNUMBER(P39), 5/P39, 0) + IF(ISNUMBER(R39), 5/R39, 0),""), "")),"")</f>
        <v/>
      </c>
      <c r="I39" s="370" t="str">
        <f>IFERROR(IF(Active1=TRUE,HLOOKUP(Bird_Chronic[[#This Row],[Crop]],Input_Scenario,11,FALSE)*HLOOKUP(Bird_Chronic[[#This Row],[Crop]],Input_Scenario,8,FALSE)*Bird_Chronic[[#This Row],[SVm]],""),"")</f>
        <v/>
      </c>
      <c r="J39" s="370" t="str">
        <f>IFERROR(IF(ISNUMBER(INDEX(Active[B_NOAEL], 1)),
                          INDEX(Active[B_NOAEL], 1)/I39,""),"")</f>
        <v/>
      </c>
      <c r="K39" s="370" t="str">
        <f>IFERROR(IF(Active2=TRUE,HLOOKUP(Bird_Chronic[[#This Row],[Crop]],Input_Scenario,12,FALSE)*HLOOKUP(Bird_Chronic[[#This Row],[Crop]],Input_Scenario,8,FALSE)*Bird_Chronic[[#This Row],[SVm]],""),"")</f>
        <v/>
      </c>
      <c r="L39" s="370" t="str">
        <f>IFERROR(IF(ISNUMBER(INDEX(Active[B_NOAEL], 2)),
                          INDEX(Active[B_NOAEL], 2)/K39,""),"")</f>
        <v/>
      </c>
      <c r="M39" s="370" t="str">
        <f>IFERROR(IF(Active3=TRUE,HLOOKUP(Bird_Chronic[[#This Row],[Crop]],Input_Scenario,12,FALSE)*HLOOKUP(Bird_Chronic[[#This Row],[Crop]],Input_Scenario,8,FALSE)*Bird_Chronic[[#This Row],[SVm]],""),"")</f>
        <v/>
      </c>
      <c r="N39" s="370" t="str">
        <f>IFERROR(IF(ISNUMBER(INDEX(Active[B_NOAEL], 3)),
                          INDEX(Active[B_NOAEL], 3)/M39,""),"")</f>
        <v/>
      </c>
      <c r="O39" s="370" t="str">
        <f>IFERROR(IF(Active4=TRUE,HLOOKUP(Bird_Chronic[[#This Row],[Crop]],Input_Scenario,13,FALSE)*HLOOKUP(Bird_Chronic[[#This Row],[Crop]],Input_Scenario,8,FALSE)*Bird_Chronic[[#This Row],[SVm]],""),"")</f>
        <v/>
      </c>
      <c r="P39" s="370" t="str">
        <f>IFERROR(IF(ISNUMBER(INDEX(Active[B_NOAEL], 4)),
                          INDEX(Active[B_NOAEL], 4)/O39,""),"")</f>
        <v/>
      </c>
      <c r="Q39" s="370" t="str">
        <f>IFERROR(IF(Active5=TRUE,HLOOKUP(Bird_Chronic[[#This Row],[Crop]],Input_Scenario,14,FALSE)*HLOOKUP(Bird_Chronic[[#This Row],[Crop]],Input_Scenario,8,FALSE)*Bird_Chronic[[#This Row],[SVm]],""),"")</f>
        <v/>
      </c>
      <c r="R39" s="370" t="str">
        <f>IFERROR(IF(ISNUMBER(INDEX(Active[B_NOAEL], 5)),
                          INDEX(Active[B_NOAEL], 5)/Q39,""),"")</f>
        <v/>
      </c>
      <c r="S39" s="204"/>
      <c r="T39" s="56"/>
      <c r="U39" s="56"/>
      <c r="V39" s="56"/>
      <c r="W39" s="56"/>
      <c r="X39" s="56"/>
      <c r="Y39" s="56"/>
      <c r="Z39" s="56"/>
      <c r="AA39" s="56"/>
      <c r="AB39" s="56"/>
      <c r="AC39" s="56"/>
      <c r="AD39" s="56"/>
      <c r="AE39" s="56"/>
      <c r="AF39" s="56"/>
      <c r="AG39" s="56"/>
      <c r="AH39" s="56"/>
    </row>
    <row r="40" spans="1:34" s="106" customFormat="1" ht="16.5" customHeight="1">
      <c r="A40" s="56"/>
      <c r="B40" s="314" t="str">
        <f t="shared" ca="1" si="0"/>
        <v>No input</v>
      </c>
      <c r="C40" s="72" t="s">
        <v>107</v>
      </c>
      <c r="D40" s="73" t="s">
        <v>111</v>
      </c>
      <c r="E40" s="73" t="s">
        <v>211</v>
      </c>
      <c r="F40" s="113">
        <v>9.6999999999999993</v>
      </c>
      <c r="G40" s="203" t="str">
        <f ca="1">IF(AND(Bird_Chronic[[#This Row],[Relevance]]="Input provided", Count&gt;=1),
       IF(B_ChronicScheme="C(mix)",
                 HLOOKUP(Bird_Chronic[[#This Row],[Crop]], Input_Scenario,10,FALSE)*Bird_Chronic[[#This Row],[SVm]]*HLOOKUP(Bird_Chronic[[#This Row],[Crop]],Input_Scenario,8,FALSE),""),"")</f>
        <v/>
      </c>
      <c r="H40" s="368" t="str">
        <f>IF(Count&gt;=1,
       IF(AND(B_ChronicScheme ="C(mix)", ISNUMBER(G40)), (B_NOAEL_form/G40),
       IF(AND(B_ChronicScheme = "HIsum", Count &gt; 1),
            IF(ISNUMBER(J40), IF(ISNUMBER(J40), 5/J40, 0) + IF(ISNUMBER(L40), 5/L40, 0) + IF(ISNUMBER(N40), 5/N40, 0) + IF(ISNUMBER(P40), 5/P40, 0) + IF(ISNUMBER(R40), 5/R40, 0),""), "")),"")</f>
        <v/>
      </c>
      <c r="I40" s="370" t="str">
        <f>IFERROR(IF(Active1=TRUE,HLOOKUP(Bird_Chronic[[#This Row],[Crop]],Input_Scenario,11,FALSE)*HLOOKUP(Bird_Chronic[[#This Row],[Crop]],Input_Scenario,8,FALSE)*Bird_Chronic[[#This Row],[SVm]],""),"")</f>
        <v/>
      </c>
      <c r="J40" s="370" t="str">
        <f>IFERROR(IF(ISNUMBER(INDEX(Active[B_NOAEL], 1)),
                          INDEX(Active[B_NOAEL], 1)/I40,""),"")</f>
        <v/>
      </c>
      <c r="K40" s="370" t="str">
        <f>IFERROR(IF(Active2=TRUE,HLOOKUP(Bird_Chronic[[#This Row],[Crop]],Input_Scenario,12,FALSE)*HLOOKUP(Bird_Chronic[[#This Row],[Crop]],Input_Scenario,8,FALSE)*Bird_Chronic[[#This Row],[SVm]],""),"")</f>
        <v/>
      </c>
      <c r="L40" s="370" t="str">
        <f>IFERROR(IF(ISNUMBER(INDEX(Active[B_NOAEL], 2)),
                          INDEX(Active[B_NOAEL], 2)/K40,""),"")</f>
        <v/>
      </c>
      <c r="M40" s="370" t="str">
        <f>IFERROR(IF(Active3=TRUE,HLOOKUP(Bird_Chronic[[#This Row],[Crop]],Input_Scenario,12,FALSE)*HLOOKUP(Bird_Chronic[[#This Row],[Crop]],Input_Scenario,8,FALSE)*Bird_Chronic[[#This Row],[SVm]],""),"")</f>
        <v/>
      </c>
      <c r="N40" s="370" t="str">
        <f>IFERROR(IF(ISNUMBER(INDEX(Active[B_NOAEL], 3)),
                          INDEX(Active[B_NOAEL], 3)/M40,""),"")</f>
        <v/>
      </c>
      <c r="O40" s="370" t="str">
        <f>IFERROR(IF(Active4=TRUE,HLOOKUP(Bird_Chronic[[#This Row],[Crop]],Input_Scenario,13,FALSE)*HLOOKUP(Bird_Chronic[[#This Row],[Crop]],Input_Scenario,8,FALSE)*Bird_Chronic[[#This Row],[SVm]],""),"")</f>
        <v/>
      </c>
      <c r="P40" s="370" t="str">
        <f>IFERROR(IF(ISNUMBER(INDEX(Active[B_NOAEL], 4)),
                          INDEX(Active[B_NOAEL], 4)/O40,""),"")</f>
        <v/>
      </c>
      <c r="Q40" s="370" t="str">
        <f>IFERROR(IF(Active5=TRUE,HLOOKUP(Bird_Chronic[[#This Row],[Crop]],Input_Scenario,14,FALSE)*HLOOKUP(Bird_Chronic[[#This Row],[Crop]],Input_Scenario,8,FALSE)*Bird_Chronic[[#This Row],[SVm]],""),"")</f>
        <v/>
      </c>
      <c r="R40" s="370" t="str">
        <f>IFERROR(IF(ISNUMBER(INDEX(Active[B_NOAEL], 5)),
                          INDEX(Active[B_NOAEL], 5)/Q40,""),"")</f>
        <v/>
      </c>
      <c r="S40" s="204"/>
      <c r="T40" s="56"/>
      <c r="U40" s="56"/>
      <c r="V40" s="56"/>
      <c r="W40" s="56"/>
      <c r="X40" s="56"/>
      <c r="Y40" s="56"/>
      <c r="Z40" s="56"/>
      <c r="AA40" s="56"/>
      <c r="AB40" s="56"/>
      <c r="AC40" s="56"/>
      <c r="AD40" s="56"/>
      <c r="AE40" s="56"/>
      <c r="AF40" s="56"/>
      <c r="AG40" s="56"/>
      <c r="AH40" s="56"/>
    </row>
    <row r="41" spans="1:34" s="106" customFormat="1" ht="16.5" customHeight="1">
      <c r="A41" s="56"/>
      <c r="B41" s="314" t="str">
        <f t="shared" ca="1" si="0"/>
        <v>No input</v>
      </c>
      <c r="C41" s="72" t="s">
        <v>112</v>
      </c>
      <c r="D41" s="73" t="s">
        <v>113</v>
      </c>
      <c r="E41" s="73" t="s">
        <v>212</v>
      </c>
      <c r="F41" s="113">
        <v>23</v>
      </c>
      <c r="G41" s="203" t="str">
        <f ca="1">IF(AND(Bird_Chronic[[#This Row],[Relevance]]="Input provided", Count&gt;=1),
       IF(B_ChronicScheme="C(mix)",
                 HLOOKUP(Bird_Chronic[[#This Row],[Crop]], Input_Scenario,10,FALSE)*Bird_Chronic[[#This Row],[SVm]]*HLOOKUP(Bird_Chronic[[#This Row],[Crop]],Input_Scenario,8,FALSE),""),"")</f>
        <v/>
      </c>
      <c r="H41" s="368" t="str">
        <f>IF(Count&gt;=1,
       IF(AND(B_ChronicScheme ="C(mix)", ISNUMBER(G41)), (B_NOAEL_form/G41),
       IF(AND(B_ChronicScheme = "HIsum", Count &gt; 1),
            IF(ISNUMBER(J41), IF(ISNUMBER(J41), 5/J41, 0) + IF(ISNUMBER(L41), 5/L41, 0) + IF(ISNUMBER(N41), 5/N41, 0) + IF(ISNUMBER(P41), 5/P41, 0) + IF(ISNUMBER(R41), 5/R41, 0),""), "")),"")</f>
        <v/>
      </c>
      <c r="I41" s="370" t="str">
        <f>IFERROR(IF(Active1=TRUE,HLOOKUP(Bird_Chronic[[#This Row],[Crop]],Input_Scenario,11,FALSE)*HLOOKUP(Bird_Chronic[[#This Row],[Crop]],Input_Scenario,8,FALSE)*Bird_Chronic[[#This Row],[SVm]],""),"")</f>
        <v/>
      </c>
      <c r="J41" s="370" t="str">
        <f>IFERROR(IF(ISNUMBER(INDEX(Active[B_NOAEL], 1)),
                          INDEX(Active[B_NOAEL], 1)/I41,""),"")</f>
        <v/>
      </c>
      <c r="K41" s="370" t="str">
        <f>IFERROR(IF(Active2=TRUE,HLOOKUP(Bird_Chronic[[#This Row],[Crop]],Input_Scenario,12,FALSE)*HLOOKUP(Bird_Chronic[[#This Row],[Crop]],Input_Scenario,8,FALSE)*Bird_Chronic[[#This Row],[SVm]],""),"")</f>
        <v/>
      </c>
      <c r="L41" s="370" t="str">
        <f>IFERROR(IF(ISNUMBER(INDEX(Active[B_NOAEL], 2)),
                          INDEX(Active[B_NOAEL], 2)/K41,""),"")</f>
        <v/>
      </c>
      <c r="M41" s="370" t="str">
        <f>IFERROR(IF(Active3=TRUE,HLOOKUP(Bird_Chronic[[#This Row],[Crop]],Input_Scenario,12,FALSE)*HLOOKUP(Bird_Chronic[[#This Row],[Crop]],Input_Scenario,8,FALSE)*Bird_Chronic[[#This Row],[SVm]],""),"")</f>
        <v/>
      </c>
      <c r="N41" s="370" t="str">
        <f>IFERROR(IF(ISNUMBER(INDEX(Active[B_NOAEL], 3)),
                          INDEX(Active[B_NOAEL], 3)/M41,""),"")</f>
        <v/>
      </c>
      <c r="O41" s="370" t="str">
        <f>IFERROR(IF(Active4=TRUE,HLOOKUP(Bird_Chronic[[#This Row],[Crop]],Input_Scenario,13,FALSE)*HLOOKUP(Bird_Chronic[[#This Row],[Crop]],Input_Scenario,8,FALSE)*Bird_Chronic[[#This Row],[SVm]],""),"")</f>
        <v/>
      </c>
      <c r="P41" s="370" t="str">
        <f>IFERROR(IF(ISNUMBER(INDEX(Active[B_NOAEL], 4)),
                          INDEX(Active[B_NOAEL], 4)/O41,""),"")</f>
        <v/>
      </c>
      <c r="Q41" s="370" t="str">
        <f>IFERROR(IF(Active5=TRUE,HLOOKUP(Bird_Chronic[[#This Row],[Crop]],Input_Scenario,14,FALSE)*HLOOKUP(Bird_Chronic[[#This Row],[Crop]],Input_Scenario,8,FALSE)*Bird_Chronic[[#This Row],[SVm]],""),"")</f>
        <v/>
      </c>
      <c r="R41" s="370" t="str">
        <f>IFERROR(IF(ISNUMBER(INDEX(Active[B_NOAEL], 5)),
                          INDEX(Active[B_NOAEL], 5)/Q41,""),"")</f>
        <v/>
      </c>
      <c r="S41" s="204"/>
      <c r="T41" s="56"/>
      <c r="U41" s="56"/>
      <c r="V41" s="56"/>
      <c r="W41" s="56"/>
      <c r="X41" s="56"/>
      <c r="Y41" s="56"/>
      <c r="Z41" s="56"/>
      <c r="AA41" s="56"/>
      <c r="AB41" s="56"/>
      <c r="AC41" s="56"/>
      <c r="AD41" s="56"/>
      <c r="AE41" s="56"/>
      <c r="AF41" s="56"/>
      <c r="AG41" s="56"/>
      <c r="AH41" s="56"/>
    </row>
    <row r="42" spans="1:34" s="106" customFormat="1" ht="16.5" customHeight="1">
      <c r="A42" s="56"/>
      <c r="B42" s="314" t="str">
        <f t="shared" ca="1" si="0"/>
        <v>No input</v>
      </c>
      <c r="C42" s="72" t="s">
        <v>112</v>
      </c>
      <c r="D42" s="73" t="s">
        <v>116</v>
      </c>
      <c r="E42" s="73" t="s">
        <v>213</v>
      </c>
      <c r="F42" s="113">
        <v>20.3</v>
      </c>
      <c r="G42" s="203" t="str">
        <f ca="1">IF(AND(Bird_Chronic[[#This Row],[Relevance]]="Input provided", Count&gt;=1),
       IF(B_ChronicScheme="C(mix)",
                 HLOOKUP(Bird_Chronic[[#This Row],[Crop]], Input_Scenario,10,FALSE)*Bird_Chronic[[#This Row],[SVm]]*HLOOKUP(Bird_Chronic[[#This Row],[Crop]],Input_Scenario,8,FALSE),""),"")</f>
        <v/>
      </c>
      <c r="H42" s="368" t="str">
        <f>IF(Count&gt;=1,
       IF(AND(B_ChronicScheme ="C(mix)", ISNUMBER(G42)), (B_NOAEL_form/G42),
       IF(AND(B_ChronicScheme = "HIsum", Count &gt; 1),
            IF(ISNUMBER(J42), IF(ISNUMBER(J42), 5/J42, 0) + IF(ISNUMBER(L42), 5/L42, 0) + IF(ISNUMBER(N42), 5/N42, 0) + IF(ISNUMBER(P42), 5/P42, 0) + IF(ISNUMBER(R42), 5/R42, 0),""), "")),"")</f>
        <v/>
      </c>
      <c r="I42" s="370" t="str">
        <f>IFERROR(IF(Active1=TRUE,HLOOKUP(Bird_Chronic[[#This Row],[Crop]],Input_Scenario,11,FALSE)*HLOOKUP(Bird_Chronic[[#This Row],[Crop]],Input_Scenario,8,FALSE)*Bird_Chronic[[#This Row],[SVm]],""),"")</f>
        <v/>
      </c>
      <c r="J42" s="370" t="str">
        <f>IFERROR(IF(ISNUMBER(INDEX(Active[B_NOAEL], 1)),
                          INDEX(Active[B_NOAEL], 1)/I42,""),"")</f>
        <v/>
      </c>
      <c r="K42" s="370" t="str">
        <f>IFERROR(IF(Active2=TRUE,HLOOKUP(Bird_Chronic[[#This Row],[Crop]],Input_Scenario,12,FALSE)*HLOOKUP(Bird_Chronic[[#This Row],[Crop]],Input_Scenario,8,FALSE)*Bird_Chronic[[#This Row],[SVm]],""),"")</f>
        <v/>
      </c>
      <c r="L42" s="370" t="str">
        <f>IFERROR(IF(ISNUMBER(INDEX(Active[B_NOAEL], 2)),
                          INDEX(Active[B_NOAEL], 2)/K42,""),"")</f>
        <v/>
      </c>
      <c r="M42" s="370" t="str">
        <f>IFERROR(IF(Active3=TRUE,HLOOKUP(Bird_Chronic[[#This Row],[Crop]],Input_Scenario,12,FALSE)*HLOOKUP(Bird_Chronic[[#This Row],[Crop]],Input_Scenario,8,FALSE)*Bird_Chronic[[#This Row],[SVm]],""),"")</f>
        <v/>
      </c>
      <c r="N42" s="370" t="str">
        <f>IFERROR(IF(ISNUMBER(INDEX(Active[B_NOAEL], 3)),
                          INDEX(Active[B_NOAEL], 3)/M42,""),"")</f>
        <v/>
      </c>
      <c r="O42" s="370" t="str">
        <f>IFERROR(IF(Active4=TRUE,HLOOKUP(Bird_Chronic[[#This Row],[Crop]],Input_Scenario,13,FALSE)*HLOOKUP(Bird_Chronic[[#This Row],[Crop]],Input_Scenario,8,FALSE)*Bird_Chronic[[#This Row],[SVm]],""),"")</f>
        <v/>
      </c>
      <c r="P42" s="370" t="str">
        <f>IFERROR(IF(ISNUMBER(INDEX(Active[B_NOAEL], 4)),
                          INDEX(Active[B_NOAEL], 4)/O42,""),"")</f>
        <v/>
      </c>
      <c r="Q42" s="370" t="str">
        <f>IFERROR(IF(Active5=TRUE,HLOOKUP(Bird_Chronic[[#This Row],[Crop]],Input_Scenario,14,FALSE)*HLOOKUP(Bird_Chronic[[#This Row],[Crop]],Input_Scenario,8,FALSE)*Bird_Chronic[[#This Row],[SVm]],""),"")</f>
        <v/>
      </c>
      <c r="R42" s="370" t="str">
        <f>IFERROR(IF(ISNUMBER(INDEX(Active[B_NOAEL], 5)),
                          INDEX(Active[B_NOAEL], 5)/Q42,""),"")</f>
        <v/>
      </c>
      <c r="S42" s="204"/>
      <c r="T42" s="56"/>
      <c r="U42" s="56"/>
      <c r="V42" s="56"/>
      <c r="W42" s="56"/>
      <c r="X42" s="56"/>
      <c r="Y42" s="56"/>
      <c r="Z42" s="56"/>
      <c r="AA42" s="56"/>
      <c r="AB42" s="56"/>
      <c r="AC42" s="56"/>
      <c r="AD42" s="56"/>
      <c r="AE42" s="56"/>
      <c r="AF42" s="56"/>
      <c r="AG42" s="56"/>
      <c r="AH42" s="56"/>
    </row>
    <row r="43" spans="1:34" s="106" customFormat="1" ht="16.5" customHeight="1">
      <c r="A43" s="56"/>
      <c r="B43" s="314" t="str">
        <f t="shared" ca="1" si="0"/>
        <v>No input</v>
      </c>
      <c r="C43" s="72" t="s">
        <v>118</v>
      </c>
      <c r="D43" s="73" t="s">
        <v>119</v>
      </c>
      <c r="E43" s="73" t="s">
        <v>210</v>
      </c>
      <c r="F43" s="113">
        <v>10.9</v>
      </c>
      <c r="G43" s="203" t="str">
        <f ca="1">IF(AND(Bird_Chronic[[#This Row],[Relevance]]="Input provided", Count&gt;=1),
       IF(B_ChronicScheme="C(mix)",
                 HLOOKUP(Bird_Chronic[[#This Row],[Crop]], Input_Scenario,10,FALSE)*Bird_Chronic[[#This Row],[SVm]]*HLOOKUP(Bird_Chronic[[#This Row],[Crop]],Input_Scenario,8,FALSE),""),"")</f>
        <v/>
      </c>
      <c r="H43" s="368" t="str">
        <f>IF(Count&gt;=1,
       IF(AND(B_ChronicScheme ="C(mix)", ISNUMBER(G43)), (B_NOAEL_form/G43),
       IF(AND(B_ChronicScheme = "HIsum", Count &gt; 1),
            IF(ISNUMBER(J43), IF(ISNUMBER(J43), 5/J43, 0) + IF(ISNUMBER(L43), 5/L43, 0) + IF(ISNUMBER(N43), 5/N43, 0) + IF(ISNUMBER(P43), 5/P43, 0) + IF(ISNUMBER(R43), 5/R43, 0),""), "")),"")</f>
        <v/>
      </c>
      <c r="I43" s="370" t="str">
        <f>IFERROR(IF(Active1=TRUE,HLOOKUP(Bird_Chronic[[#This Row],[Crop]],Input_Scenario,11,FALSE)*HLOOKUP(Bird_Chronic[[#This Row],[Crop]],Input_Scenario,8,FALSE)*Bird_Chronic[[#This Row],[SVm]],""),"")</f>
        <v/>
      </c>
      <c r="J43" s="370" t="str">
        <f>IFERROR(IF(ISNUMBER(INDEX(Active[B_NOAEL], 1)),
                          INDEX(Active[B_NOAEL], 1)/I43,""),"")</f>
        <v/>
      </c>
      <c r="K43" s="370" t="str">
        <f>IFERROR(IF(Active2=TRUE,HLOOKUP(Bird_Chronic[[#This Row],[Crop]],Input_Scenario,12,FALSE)*HLOOKUP(Bird_Chronic[[#This Row],[Crop]],Input_Scenario,8,FALSE)*Bird_Chronic[[#This Row],[SVm]],""),"")</f>
        <v/>
      </c>
      <c r="L43" s="370" t="str">
        <f>IFERROR(IF(ISNUMBER(INDEX(Active[B_NOAEL], 2)),
                          INDEX(Active[B_NOAEL], 2)/K43,""),"")</f>
        <v/>
      </c>
      <c r="M43" s="370" t="str">
        <f>IFERROR(IF(Active3=TRUE,HLOOKUP(Bird_Chronic[[#This Row],[Crop]],Input_Scenario,12,FALSE)*HLOOKUP(Bird_Chronic[[#This Row],[Crop]],Input_Scenario,8,FALSE)*Bird_Chronic[[#This Row],[SVm]],""),"")</f>
        <v/>
      </c>
      <c r="N43" s="370" t="str">
        <f>IFERROR(IF(ISNUMBER(INDEX(Active[B_NOAEL], 3)),
                          INDEX(Active[B_NOAEL], 3)/M43,""),"")</f>
        <v/>
      </c>
      <c r="O43" s="370" t="str">
        <f>IFERROR(IF(Active4=TRUE,HLOOKUP(Bird_Chronic[[#This Row],[Crop]],Input_Scenario,13,FALSE)*HLOOKUP(Bird_Chronic[[#This Row],[Crop]],Input_Scenario,8,FALSE)*Bird_Chronic[[#This Row],[SVm]],""),"")</f>
        <v/>
      </c>
      <c r="P43" s="370" t="str">
        <f>IFERROR(IF(ISNUMBER(INDEX(Active[B_NOAEL], 4)),
                          INDEX(Active[B_NOAEL], 4)/O43,""),"")</f>
        <v/>
      </c>
      <c r="Q43" s="370" t="str">
        <f>IFERROR(IF(Active5=TRUE,HLOOKUP(Bird_Chronic[[#This Row],[Crop]],Input_Scenario,14,FALSE)*HLOOKUP(Bird_Chronic[[#This Row],[Crop]],Input_Scenario,8,FALSE)*Bird_Chronic[[#This Row],[SVm]],""),"")</f>
        <v/>
      </c>
      <c r="R43" s="370" t="str">
        <f>IFERROR(IF(ISNUMBER(INDEX(Active[B_NOAEL], 5)),
                          INDEX(Active[B_NOAEL], 5)/Q43,""),"")</f>
        <v/>
      </c>
      <c r="S43" s="204"/>
      <c r="T43" s="56"/>
      <c r="U43" s="56"/>
      <c r="V43" s="56"/>
      <c r="W43" s="56"/>
      <c r="X43" s="56"/>
      <c r="Y43" s="56"/>
      <c r="Z43" s="56"/>
      <c r="AA43" s="56"/>
      <c r="AB43" s="56"/>
      <c r="AC43" s="56"/>
      <c r="AD43" s="56"/>
      <c r="AE43" s="56"/>
      <c r="AF43" s="56"/>
      <c r="AG43" s="56"/>
      <c r="AH43" s="56"/>
    </row>
    <row r="44" spans="1:34" s="106" customFormat="1" ht="16.5" customHeight="1">
      <c r="A44" s="56"/>
      <c r="B44" s="314" t="str">
        <f t="shared" ca="1" si="0"/>
        <v>No input</v>
      </c>
      <c r="C44" s="72" t="s">
        <v>118</v>
      </c>
      <c r="D44" s="73" t="s">
        <v>120</v>
      </c>
      <c r="E44" s="73" t="s">
        <v>214</v>
      </c>
      <c r="F44" s="113">
        <v>16.2</v>
      </c>
      <c r="G44" s="203" t="str">
        <f ca="1">IF(AND(Bird_Chronic[[#This Row],[Relevance]]="Input provided", Count&gt;=1),
       IF(B_ChronicScheme="C(mix)",
                 HLOOKUP(Bird_Chronic[[#This Row],[Crop]], Input_Scenario,10,FALSE)*Bird_Chronic[[#This Row],[SVm]]*HLOOKUP(Bird_Chronic[[#This Row],[Crop]],Input_Scenario,8,FALSE),""),"")</f>
        <v/>
      </c>
      <c r="H44" s="368" t="str">
        <f>IF(Count&gt;=1,
       IF(AND(B_ChronicScheme ="C(mix)", ISNUMBER(G44)), (B_NOAEL_form/G44),
       IF(AND(B_ChronicScheme = "HIsum", Count &gt; 1),
            IF(ISNUMBER(J44), IF(ISNUMBER(J44), 5/J44, 0) + IF(ISNUMBER(L44), 5/L44, 0) + IF(ISNUMBER(N44), 5/N44, 0) + IF(ISNUMBER(P44), 5/P44, 0) + IF(ISNUMBER(R44), 5/R44, 0),""), "")),"")</f>
        <v/>
      </c>
      <c r="I44" s="370" t="str">
        <f>IFERROR(IF(Active1=TRUE,HLOOKUP(Bird_Chronic[[#This Row],[Crop]],Input_Scenario,11,FALSE)*HLOOKUP(Bird_Chronic[[#This Row],[Crop]],Input_Scenario,8,FALSE)*Bird_Chronic[[#This Row],[SVm]],""),"")</f>
        <v/>
      </c>
      <c r="J44" s="370" t="str">
        <f>IFERROR(IF(ISNUMBER(INDEX(Active[B_NOAEL], 1)),
                          INDEX(Active[B_NOAEL], 1)/I44,""),"")</f>
        <v/>
      </c>
      <c r="K44" s="370" t="str">
        <f>IFERROR(IF(Active2=TRUE,HLOOKUP(Bird_Chronic[[#This Row],[Crop]],Input_Scenario,12,FALSE)*HLOOKUP(Bird_Chronic[[#This Row],[Crop]],Input_Scenario,8,FALSE)*Bird_Chronic[[#This Row],[SVm]],""),"")</f>
        <v/>
      </c>
      <c r="L44" s="370" t="str">
        <f>IFERROR(IF(ISNUMBER(INDEX(Active[B_NOAEL], 2)),
                          INDEX(Active[B_NOAEL], 2)/K44,""),"")</f>
        <v/>
      </c>
      <c r="M44" s="370" t="str">
        <f>IFERROR(IF(Active3=TRUE,HLOOKUP(Bird_Chronic[[#This Row],[Crop]],Input_Scenario,12,FALSE)*HLOOKUP(Bird_Chronic[[#This Row],[Crop]],Input_Scenario,8,FALSE)*Bird_Chronic[[#This Row],[SVm]],""),"")</f>
        <v/>
      </c>
      <c r="N44" s="370" t="str">
        <f>IFERROR(IF(ISNUMBER(INDEX(Active[B_NOAEL], 3)),
                          INDEX(Active[B_NOAEL], 3)/M44,""),"")</f>
        <v/>
      </c>
      <c r="O44" s="370" t="str">
        <f>IFERROR(IF(Active4=TRUE,HLOOKUP(Bird_Chronic[[#This Row],[Crop]],Input_Scenario,13,FALSE)*HLOOKUP(Bird_Chronic[[#This Row],[Crop]],Input_Scenario,8,FALSE)*Bird_Chronic[[#This Row],[SVm]],""),"")</f>
        <v/>
      </c>
      <c r="P44" s="370" t="str">
        <f>IFERROR(IF(ISNUMBER(INDEX(Active[B_NOAEL], 4)),
                          INDEX(Active[B_NOAEL], 4)/O44,""),"")</f>
        <v/>
      </c>
      <c r="Q44" s="370" t="str">
        <f>IFERROR(IF(Active5=TRUE,HLOOKUP(Bird_Chronic[[#This Row],[Crop]],Input_Scenario,14,FALSE)*HLOOKUP(Bird_Chronic[[#This Row],[Crop]],Input_Scenario,8,FALSE)*Bird_Chronic[[#This Row],[SVm]],""),"")</f>
        <v/>
      </c>
      <c r="R44" s="370" t="str">
        <f>IFERROR(IF(ISNUMBER(INDEX(Active[B_NOAEL], 5)),
                          INDEX(Active[B_NOAEL], 5)/Q44,""),"")</f>
        <v/>
      </c>
      <c r="S44" s="204"/>
      <c r="T44" s="56"/>
      <c r="U44" s="56"/>
      <c r="V44" s="56"/>
      <c r="W44" s="56"/>
      <c r="X44" s="56"/>
      <c r="Y44" s="56"/>
      <c r="Z44" s="56"/>
      <c r="AA44" s="56"/>
      <c r="AB44" s="56"/>
      <c r="AC44" s="56"/>
      <c r="AD44" s="56"/>
      <c r="AE44" s="56"/>
      <c r="AF44" s="56"/>
      <c r="AG44" s="56"/>
      <c r="AH44" s="56"/>
    </row>
    <row r="45" spans="1:34" s="106" customFormat="1" ht="16.5" customHeight="1">
      <c r="A45" s="56"/>
      <c r="B45" s="314" t="str">
        <f t="shared" ca="1" si="0"/>
        <v>No input</v>
      </c>
      <c r="C45" s="72" t="s">
        <v>118</v>
      </c>
      <c r="D45" s="73" t="s">
        <v>123</v>
      </c>
      <c r="E45" s="73" t="s">
        <v>210</v>
      </c>
      <c r="F45" s="113">
        <v>5.4</v>
      </c>
      <c r="G45" s="203" t="str">
        <f ca="1">IF(AND(Bird_Chronic[[#This Row],[Relevance]]="Input provided", Count&gt;=1),
       IF(B_ChronicScheme="C(mix)",
                 HLOOKUP(Bird_Chronic[[#This Row],[Crop]], Input_Scenario,10,FALSE)*Bird_Chronic[[#This Row],[SVm]]*HLOOKUP(Bird_Chronic[[#This Row],[Crop]],Input_Scenario,8,FALSE),""),"")</f>
        <v/>
      </c>
      <c r="H45" s="368" t="str">
        <f>IF(Count&gt;=1,
       IF(AND(B_ChronicScheme ="C(mix)", ISNUMBER(G45)), (B_NOAEL_form/G45),
       IF(AND(B_ChronicScheme = "HIsum", Count &gt; 1),
            IF(ISNUMBER(J45), IF(ISNUMBER(J45), 5/J45, 0) + IF(ISNUMBER(L45), 5/L45, 0) + IF(ISNUMBER(N45), 5/N45, 0) + IF(ISNUMBER(P45), 5/P45, 0) + IF(ISNUMBER(R45), 5/R45, 0),""), "")),"")</f>
        <v/>
      </c>
      <c r="I45" s="370" t="str">
        <f>IFERROR(IF(Active1=TRUE,HLOOKUP(Bird_Chronic[[#This Row],[Crop]],Input_Scenario,11,FALSE)*HLOOKUP(Bird_Chronic[[#This Row],[Crop]],Input_Scenario,8,FALSE)*Bird_Chronic[[#This Row],[SVm]],""),"")</f>
        <v/>
      </c>
      <c r="J45" s="370" t="str">
        <f>IFERROR(IF(ISNUMBER(INDEX(Active[B_NOAEL], 1)),
                          INDEX(Active[B_NOAEL], 1)/I45,""),"")</f>
        <v/>
      </c>
      <c r="K45" s="370" t="str">
        <f>IFERROR(IF(Active2=TRUE,HLOOKUP(Bird_Chronic[[#This Row],[Crop]],Input_Scenario,12,FALSE)*HLOOKUP(Bird_Chronic[[#This Row],[Crop]],Input_Scenario,8,FALSE)*Bird_Chronic[[#This Row],[SVm]],""),"")</f>
        <v/>
      </c>
      <c r="L45" s="370" t="str">
        <f>IFERROR(IF(ISNUMBER(INDEX(Active[B_NOAEL], 2)),
                          INDEX(Active[B_NOAEL], 2)/K45,""),"")</f>
        <v/>
      </c>
      <c r="M45" s="370" t="str">
        <f>IFERROR(IF(Active3=TRUE,HLOOKUP(Bird_Chronic[[#This Row],[Crop]],Input_Scenario,12,FALSE)*HLOOKUP(Bird_Chronic[[#This Row],[Crop]],Input_Scenario,8,FALSE)*Bird_Chronic[[#This Row],[SVm]],""),"")</f>
        <v/>
      </c>
      <c r="N45" s="370" t="str">
        <f>IFERROR(IF(ISNUMBER(INDEX(Active[B_NOAEL], 3)),
                          INDEX(Active[B_NOAEL], 3)/M45,""),"")</f>
        <v/>
      </c>
      <c r="O45" s="370" t="str">
        <f>IFERROR(IF(Active4=TRUE,HLOOKUP(Bird_Chronic[[#This Row],[Crop]],Input_Scenario,13,FALSE)*HLOOKUP(Bird_Chronic[[#This Row],[Crop]],Input_Scenario,8,FALSE)*Bird_Chronic[[#This Row],[SVm]],""),"")</f>
        <v/>
      </c>
      <c r="P45" s="370" t="str">
        <f>IFERROR(IF(ISNUMBER(INDEX(Active[B_NOAEL], 4)),
                          INDEX(Active[B_NOAEL], 4)/O45,""),"")</f>
        <v/>
      </c>
      <c r="Q45" s="370" t="str">
        <f>IFERROR(IF(Active5=TRUE,HLOOKUP(Bird_Chronic[[#This Row],[Crop]],Input_Scenario,14,FALSE)*HLOOKUP(Bird_Chronic[[#This Row],[Crop]],Input_Scenario,8,FALSE)*Bird_Chronic[[#This Row],[SVm]],""),"")</f>
        <v/>
      </c>
      <c r="R45" s="370" t="str">
        <f>IFERROR(IF(ISNUMBER(INDEX(Active[B_NOAEL], 5)),
                          INDEX(Active[B_NOAEL], 5)/Q45,""),"")</f>
        <v/>
      </c>
      <c r="S45" s="204"/>
      <c r="T45" s="56"/>
      <c r="U45" s="56"/>
      <c r="V45" s="56"/>
      <c r="W45" s="56"/>
      <c r="X45" s="56"/>
      <c r="Y45" s="56"/>
      <c r="Z45" s="56"/>
      <c r="AA45" s="56"/>
      <c r="AB45" s="56"/>
      <c r="AC45" s="56"/>
      <c r="AD45" s="56"/>
      <c r="AE45" s="56"/>
      <c r="AF45" s="56"/>
      <c r="AG45" s="56"/>
      <c r="AH45" s="56"/>
    </row>
    <row r="46" spans="1:34" s="106" customFormat="1" ht="16.5" customHeight="1">
      <c r="A46" s="56"/>
      <c r="B46" s="314" t="str">
        <f t="shared" ca="1" si="0"/>
        <v>No input</v>
      </c>
      <c r="C46" s="72" t="s">
        <v>118</v>
      </c>
      <c r="D46" s="73" t="s">
        <v>124</v>
      </c>
      <c r="E46" s="73" t="s">
        <v>215</v>
      </c>
      <c r="F46" s="113">
        <v>22.4</v>
      </c>
      <c r="G46" s="203" t="str">
        <f ca="1">IF(AND(Bird_Chronic[[#This Row],[Relevance]]="Input provided", Count&gt;=1),
       IF(B_ChronicScheme="C(mix)",
                 HLOOKUP(Bird_Chronic[[#This Row],[Crop]], Input_Scenario,10,FALSE)*Bird_Chronic[[#This Row],[SVm]]*HLOOKUP(Bird_Chronic[[#This Row],[Crop]],Input_Scenario,8,FALSE),""),"")</f>
        <v/>
      </c>
      <c r="H46" s="368" t="str">
        <f>IF(Count&gt;=1,
       IF(AND(B_ChronicScheme ="C(mix)", ISNUMBER(G46)), (B_NOAEL_form/G46),
       IF(AND(B_ChronicScheme = "HIsum", Count &gt; 1),
            IF(ISNUMBER(J46), IF(ISNUMBER(J46), 5/J46, 0) + IF(ISNUMBER(L46), 5/L46, 0) + IF(ISNUMBER(N46), 5/N46, 0) + IF(ISNUMBER(P46), 5/P46, 0) + IF(ISNUMBER(R46), 5/R46, 0),""), "")),"")</f>
        <v/>
      </c>
      <c r="I46" s="370" t="str">
        <f>IFERROR(IF(Active1=TRUE,HLOOKUP(Bird_Chronic[[#This Row],[Crop]],Input_Scenario,11,FALSE)*HLOOKUP(Bird_Chronic[[#This Row],[Crop]],Input_Scenario,8,FALSE)*Bird_Chronic[[#This Row],[SVm]],""),"")</f>
        <v/>
      </c>
      <c r="J46" s="370" t="str">
        <f>IFERROR(IF(ISNUMBER(INDEX(Active[B_NOAEL], 1)),
                          INDEX(Active[B_NOAEL], 1)/I46,""),"")</f>
        <v/>
      </c>
      <c r="K46" s="370" t="str">
        <f>IFERROR(IF(Active2=TRUE,HLOOKUP(Bird_Chronic[[#This Row],[Crop]],Input_Scenario,12,FALSE)*HLOOKUP(Bird_Chronic[[#This Row],[Crop]],Input_Scenario,8,FALSE)*Bird_Chronic[[#This Row],[SVm]],""),"")</f>
        <v/>
      </c>
      <c r="L46" s="370" t="str">
        <f>IFERROR(IF(ISNUMBER(INDEX(Active[B_NOAEL], 2)),
                          INDEX(Active[B_NOAEL], 2)/K46,""),"")</f>
        <v/>
      </c>
      <c r="M46" s="370" t="str">
        <f>IFERROR(IF(Active3=TRUE,HLOOKUP(Bird_Chronic[[#This Row],[Crop]],Input_Scenario,12,FALSE)*HLOOKUP(Bird_Chronic[[#This Row],[Crop]],Input_Scenario,8,FALSE)*Bird_Chronic[[#This Row],[SVm]],""),"")</f>
        <v/>
      </c>
      <c r="N46" s="370" t="str">
        <f>IFERROR(IF(ISNUMBER(INDEX(Active[B_NOAEL], 3)),
                          INDEX(Active[B_NOAEL], 3)/M46,""),"")</f>
        <v/>
      </c>
      <c r="O46" s="370" t="str">
        <f>IFERROR(IF(Active4=TRUE,HLOOKUP(Bird_Chronic[[#This Row],[Crop]],Input_Scenario,13,FALSE)*HLOOKUP(Bird_Chronic[[#This Row],[Crop]],Input_Scenario,8,FALSE)*Bird_Chronic[[#This Row],[SVm]],""),"")</f>
        <v/>
      </c>
      <c r="P46" s="370" t="str">
        <f>IFERROR(IF(ISNUMBER(INDEX(Active[B_NOAEL], 4)),
                          INDEX(Active[B_NOAEL], 4)/O46,""),"")</f>
        <v/>
      </c>
      <c r="Q46" s="370" t="str">
        <f>IFERROR(IF(Active5=TRUE,HLOOKUP(Bird_Chronic[[#This Row],[Crop]],Input_Scenario,14,FALSE)*HLOOKUP(Bird_Chronic[[#This Row],[Crop]],Input_Scenario,8,FALSE)*Bird_Chronic[[#This Row],[SVm]],""),"")</f>
        <v/>
      </c>
      <c r="R46" s="370" t="str">
        <f>IFERROR(IF(ISNUMBER(INDEX(Active[B_NOAEL], 5)),
                          INDEX(Active[B_NOAEL], 5)/Q46,""),"")</f>
        <v/>
      </c>
      <c r="S46" s="204"/>
      <c r="T46" s="56"/>
      <c r="U46" s="56"/>
      <c r="V46" s="56"/>
      <c r="W46" s="56"/>
      <c r="X46" s="56"/>
      <c r="Y46" s="56"/>
      <c r="Z46" s="56"/>
      <c r="AA46" s="56"/>
      <c r="AB46" s="56"/>
      <c r="AC46" s="56"/>
      <c r="AD46" s="56"/>
      <c r="AE46" s="56"/>
      <c r="AF46" s="56"/>
      <c r="AG46" s="56"/>
      <c r="AH46" s="56"/>
    </row>
    <row r="47" spans="1:34" s="106" customFormat="1" ht="16.5" customHeight="1">
      <c r="A47" s="56"/>
      <c r="B47" s="314" t="str">
        <f t="shared" ca="1" si="0"/>
        <v>No input</v>
      </c>
      <c r="C47" s="72" t="s">
        <v>118</v>
      </c>
      <c r="D47" s="73" t="s">
        <v>109</v>
      </c>
      <c r="E47" s="73" t="s">
        <v>210</v>
      </c>
      <c r="F47" s="113">
        <v>3.3</v>
      </c>
      <c r="G47" s="203" t="str">
        <f ca="1">IF(AND(Bird_Chronic[[#This Row],[Relevance]]="Input provided", Count&gt;=1),
       IF(B_ChronicScheme="C(mix)",
                 HLOOKUP(Bird_Chronic[[#This Row],[Crop]], Input_Scenario,10,FALSE)*Bird_Chronic[[#This Row],[SVm]]*HLOOKUP(Bird_Chronic[[#This Row],[Crop]],Input_Scenario,8,FALSE),""),"")</f>
        <v/>
      </c>
      <c r="H47" s="368" t="str">
        <f>IF(Count&gt;=1,
       IF(AND(B_ChronicScheme ="C(mix)", ISNUMBER(G47)), (B_NOAEL_form/G47),
       IF(AND(B_ChronicScheme = "HIsum", Count &gt; 1),
            IF(ISNUMBER(J47), IF(ISNUMBER(J47), 5/J47, 0) + IF(ISNUMBER(L47), 5/L47, 0) + IF(ISNUMBER(N47), 5/N47, 0) + IF(ISNUMBER(P47), 5/P47, 0) + IF(ISNUMBER(R47), 5/R47, 0),""), "")),"")</f>
        <v/>
      </c>
      <c r="I47" s="370" t="str">
        <f>IFERROR(IF(Active1=TRUE,HLOOKUP(Bird_Chronic[[#This Row],[Crop]],Input_Scenario,11,FALSE)*HLOOKUP(Bird_Chronic[[#This Row],[Crop]],Input_Scenario,8,FALSE)*Bird_Chronic[[#This Row],[SVm]],""),"")</f>
        <v/>
      </c>
      <c r="J47" s="370" t="str">
        <f>IFERROR(IF(ISNUMBER(INDEX(Active[B_NOAEL], 1)),
                          INDEX(Active[B_NOAEL], 1)/I47,""),"")</f>
        <v/>
      </c>
      <c r="K47" s="370" t="str">
        <f>IFERROR(IF(Active2=TRUE,HLOOKUP(Bird_Chronic[[#This Row],[Crop]],Input_Scenario,12,FALSE)*HLOOKUP(Bird_Chronic[[#This Row],[Crop]],Input_Scenario,8,FALSE)*Bird_Chronic[[#This Row],[SVm]],""),"")</f>
        <v/>
      </c>
      <c r="L47" s="370" t="str">
        <f>IFERROR(IF(ISNUMBER(INDEX(Active[B_NOAEL], 2)),
                          INDEX(Active[B_NOAEL], 2)/K47,""),"")</f>
        <v/>
      </c>
      <c r="M47" s="370" t="str">
        <f>IFERROR(IF(Active3=TRUE,HLOOKUP(Bird_Chronic[[#This Row],[Crop]],Input_Scenario,12,FALSE)*HLOOKUP(Bird_Chronic[[#This Row],[Crop]],Input_Scenario,8,FALSE)*Bird_Chronic[[#This Row],[SVm]],""),"")</f>
        <v/>
      </c>
      <c r="N47" s="370" t="str">
        <f>IFERROR(IF(ISNUMBER(INDEX(Active[B_NOAEL], 3)),
                          INDEX(Active[B_NOAEL], 3)/M47,""),"")</f>
        <v/>
      </c>
      <c r="O47" s="370" t="str">
        <f>IFERROR(IF(Active4=TRUE,HLOOKUP(Bird_Chronic[[#This Row],[Crop]],Input_Scenario,13,FALSE)*HLOOKUP(Bird_Chronic[[#This Row],[Crop]],Input_Scenario,8,FALSE)*Bird_Chronic[[#This Row],[SVm]],""),"")</f>
        <v/>
      </c>
      <c r="P47" s="370" t="str">
        <f>IFERROR(IF(ISNUMBER(INDEX(Active[B_NOAEL], 4)),
                          INDEX(Active[B_NOAEL], 4)/O47,""),"")</f>
        <v/>
      </c>
      <c r="Q47" s="370" t="str">
        <f>IFERROR(IF(Active5=TRUE,HLOOKUP(Bird_Chronic[[#This Row],[Crop]],Input_Scenario,14,FALSE)*HLOOKUP(Bird_Chronic[[#This Row],[Crop]],Input_Scenario,8,FALSE)*Bird_Chronic[[#This Row],[SVm]],""),"")</f>
        <v/>
      </c>
      <c r="R47" s="370" t="str">
        <f>IFERROR(IF(ISNUMBER(INDEX(Active[B_NOAEL], 5)),
                          INDEX(Active[B_NOAEL], 5)/Q47,""),"")</f>
        <v/>
      </c>
      <c r="S47" s="204"/>
      <c r="T47" s="56"/>
      <c r="U47" s="56"/>
      <c r="V47" s="56"/>
      <c r="W47" s="56"/>
      <c r="X47" s="56"/>
      <c r="Y47" s="56"/>
      <c r="Z47" s="56"/>
      <c r="AA47" s="56"/>
      <c r="AB47" s="56"/>
      <c r="AC47" s="56"/>
      <c r="AD47" s="56"/>
      <c r="AE47" s="56"/>
      <c r="AF47" s="56"/>
      <c r="AG47" s="56"/>
      <c r="AH47" s="56"/>
    </row>
    <row r="48" spans="1:34" s="106" customFormat="1" ht="16.5" customHeight="1">
      <c r="A48" s="56"/>
      <c r="B48" s="314" t="str">
        <f t="shared" ca="1" si="0"/>
        <v>No input</v>
      </c>
      <c r="C48" s="72" t="s">
        <v>118</v>
      </c>
      <c r="D48" s="73" t="s">
        <v>126</v>
      </c>
      <c r="E48" s="73" t="s">
        <v>216</v>
      </c>
      <c r="F48" s="113">
        <v>12.5</v>
      </c>
      <c r="G48" s="203" t="str">
        <f ca="1">IF(AND(Bird_Chronic[[#This Row],[Relevance]]="Input provided", Count&gt;=1),
       IF(B_ChronicScheme="C(mix)",
                 HLOOKUP(Bird_Chronic[[#This Row],[Crop]], Input_Scenario,10,FALSE)*Bird_Chronic[[#This Row],[SVm]]*HLOOKUP(Bird_Chronic[[#This Row],[Crop]],Input_Scenario,8,FALSE),""),"")</f>
        <v/>
      </c>
      <c r="H48" s="368" t="str">
        <f>IF(Count&gt;=1,
       IF(AND(B_ChronicScheme ="C(mix)", ISNUMBER(G48)), (B_NOAEL_form/G48),
       IF(AND(B_ChronicScheme = "HIsum", Count &gt; 1),
            IF(ISNUMBER(J48), IF(ISNUMBER(J48), 5/J48, 0) + IF(ISNUMBER(L48), 5/L48, 0) + IF(ISNUMBER(N48), 5/N48, 0) + IF(ISNUMBER(P48), 5/P48, 0) + IF(ISNUMBER(R48), 5/R48, 0),""), "")),"")</f>
        <v/>
      </c>
      <c r="I48" s="370" t="str">
        <f>IFERROR(IF(Active1=TRUE,HLOOKUP(Bird_Chronic[[#This Row],[Crop]],Input_Scenario,11,FALSE)*HLOOKUP(Bird_Chronic[[#This Row],[Crop]],Input_Scenario,8,FALSE)*Bird_Chronic[[#This Row],[SVm]],""),"")</f>
        <v/>
      </c>
      <c r="J48" s="370" t="str">
        <f>IFERROR(IF(ISNUMBER(INDEX(Active[B_NOAEL], 1)),
                          INDEX(Active[B_NOAEL], 1)/I48,""),"")</f>
        <v/>
      </c>
      <c r="K48" s="370" t="str">
        <f>IFERROR(IF(Active2=TRUE,HLOOKUP(Bird_Chronic[[#This Row],[Crop]],Input_Scenario,12,FALSE)*HLOOKUP(Bird_Chronic[[#This Row],[Crop]],Input_Scenario,8,FALSE)*Bird_Chronic[[#This Row],[SVm]],""),"")</f>
        <v/>
      </c>
      <c r="L48" s="370" t="str">
        <f>IFERROR(IF(ISNUMBER(INDEX(Active[B_NOAEL], 2)),
                          INDEX(Active[B_NOAEL], 2)/K48,""),"")</f>
        <v/>
      </c>
      <c r="M48" s="370" t="str">
        <f>IFERROR(IF(Active3=TRUE,HLOOKUP(Bird_Chronic[[#This Row],[Crop]],Input_Scenario,12,FALSE)*HLOOKUP(Bird_Chronic[[#This Row],[Crop]],Input_Scenario,8,FALSE)*Bird_Chronic[[#This Row],[SVm]],""),"")</f>
        <v/>
      </c>
      <c r="N48" s="370" t="str">
        <f>IFERROR(IF(ISNUMBER(INDEX(Active[B_NOAEL], 3)),
                          INDEX(Active[B_NOAEL], 3)/M48,""),"")</f>
        <v/>
      </c>
      <c r="O48" s="370" t="str">
        <f>IFERROR(IF(Active4=TRUE,HLOOKUP(Bird_Chronic[[#This Row],[Crop]],Input_Scenario,13,FALSE)*HLOOKUP(Bird_Chronic[[#This Row],[Crop]],Input_Scenario,8,FALSE)*Bird_Chronic[[#This Row],[SVm]],""),"")</f>
        <v/>
      </c>
      <c r="P48" s="370" t="str">
        <f>IFERROR(IF(ISNUMBER(INDEX(Active[B_NOAEL], 4)),
                          INDEX(Active[B_NOAEL], 4)/O48,""),"")</f>
        <v/>
      </c>
      <c r="Q48" s="370" t="str">
        <f>IFERROR(IF(Active5=TRUE,HLOOKUP(Bird_Chronic[[#This Row],[Crop]],Input_Scenario,14,FALSE)*HLOOKUP(Bird_Chronic[[#This Row],[Crop]],Input_Scenario,8,FALSE)*Bird_Chronic[[#This Row],[SVm]],""),"")</f>
        <v/>
      </c>
      <c r="R48" s="370" t="str">
        <f>IFERROR(IF(ISNUMBER(INDEX(Active[B_NOAEL], 5)),
                          INDEX(Active[B_NOAEL], 5)/Q48,""),"")</f>
        <v/>
      </c>
      <c r="S48" s="204"/>
      <c r="T48" s="56"/>
      <c r="U48" s="56"/>
      <c r="V48" s="56"/>
      <c r="W48" s="56"/>
      <c r="X48" s="56"/>
      <c r="Y48" s="56"/>
      <c r="Z48" s="56"/>
      <c r="AA48" s="56"/>
      <c r="AB48" s="56"/>
      <c r="AC48" s="56"/>
      <c r="AD48" s="56"/>
      <c r="AE48" s="56"/>
      <c r="AF48" s="56"/>
      <c r="AG48" s="56"/>
      <c r="AH48" s="56"/>
    </row>
    <row r="49" spans="1:34" s="106" customFormat="1" ht="16.5" customHeight="1">
      <c r="A49" s="56"/>
      <c r="B49" s="314" t="str">
        <f t="shared" ca="1" si="0"/>
        <v>No input</v>
      </c>
      <c r="C49" s="72" t="s">
        <v>129</v>
      </c>
      <c r="D49" s="73" t="s">
        <v>108</v>
      </c>
      <c r="E49" s="73" t="s">
        <v>217</v>
      </c>
      <c r="F49" s="113">
        <v>2.2999999999999998</v>
      </c>
      <c r="G49" s="203" t="str">
        <f ca="1">IF(AND(Bird_Chronic[[#This Row],[Relevance]]="Input provided", Count&gt;=1),
       IF(B_ChronicScheme="C(mix)",
                 HLOOKUP(Bird_Chronic[[#This Row],[Crop]], Input_Scenario,10,FALSE)*Bird_Chronic[[#This Row],[SVm]]*HLOOKUP(Bird_Chronic[[#This Row],[Crop]],Input_Scenario,8,FALSE),""),"")</f>
        <v/>
      </c>
      <c r="H49" s="368" t="str">
        <f>IF(Count&gt;=1,
       IF(AND(B_ChronicScheme ="C(mix)", ISNUMBER(G49)), (B_NOAEL_form/G49),
       IF(AND(B_ChronicScheme = "HIsum", Count &gt; 1),
            IF(ISNUMBER(J49), IF(ISNUMBER(J49), 5/J49, 0) + IF(ISNUMBER(L49), 5/L49, 0) + IF(ISNUMBER(N49), 5/N49, 0) + IF(ISNUMBER(P49), 5/P49, 0) + IF(ISNUMBER(R49), 5/R49, 0),""), "")),"")</f>
        <v/>
      </c>
      <c r="I49" s="370" t="str">
        <f>IFERROR(IF(Active1=TRUE,HLOOKUP(Bird_Chronic[[#This Row],[Crop]],Input_Scenario,11,FALSE)*HLOOKUP(Bird_Chronic[[#This Row],[Crop]],Input_Scenario,8,FALSE)*Bird_Chronic[[#This Row],[SVm]],""),"")</f>
        <v/>
      </c>
      <c r="J49" s="370" t="str">
        <f>IFERROR(IF(ISNUMBER(INDEX(Active[B_NOAEL], 1)),
                          INDEX(Active[B_NOAEL], 1)/I49,""),"")</f>
        <v/>
      </c>
      <c r="K49" s="370" t="str">
        <f>IFERROR(IF(Active2=TRUE,HLOOKUP(Bird_Chronic[[#This Row],[Crop]],Input_Scenario,12,FALSE)*HLOOKUP(Bird_Chronic[[#This Row],[Crop]],Input_Scenario,8,FALSE)*Bird_Chronic[[#This Row],[SVm]],""),"")</f>
        <v/>
      </c>
      <c r="L49" s="370" t="str">
        <f>IFERROR(IF(ISNUMBER(INDEX(Active[B_NOAEL], 2)),
                          INDEX(Active[B_NOAEL], 2)/K49,""),"")</f>
        <v/>
      </c>
      <c r="M49" s="370" t="str">
        <f>IFERROR(IF(Active3=TRUE,HLOOKUP(Bird_Chronic[[#This Row],[Crop]],Input_Scenario,12,FALSE)*HLOOKUP(Bird_Chronic[[#This Row],[Crop]],Input_Scenario,8,FALSE)*Bird_Chronic[[#This Row],[SVm]],""),"")</f>
        <v/>
      </c>
      <c r="N49" s="370" t="str">
        <f>IFERROR(IF(ISNUMBER(INDEX(Active[B_NOAEL], 3)),
                          INDEX(Active[B_NOAEL], 3)/M49,""),"")</f>
        <v/>
      </c>
      <c r="O49" s="370" t="str">
        <f>IFERROR(IF(Active4=TRUE,HLOOKUP(Bird_Chronic[[#This Row],[Crop]],Input_Scenario,13,FALSE)*HLOOKUP(Bird_Chronic[[#This Row],[Crop]],Input_Scenario,8,FALSE)*Bird_Chronic[[#This Row],[SVm]],""),"")</f>
        <v/>
      </c>
      <c r="P49" s="370" t="str">
        <f>IFERROR(IF(ISNUMBER(INDEX(Active[B_NOAEL], 4)),
                          INDEX(Active[B_NOAEL], 4)/O49,""),"")</f>
        <v/>
      </c>
      <c r="Q49" s="370" t="str">
        <f>IFERROR(IF(Active5=TRUE,HLOOKUP(Bird_Chronic[[#This Row],[Crop]],Input_Scenario,14,FALSE)*HLOOKUP(Bird_Chronic[[#This Row],[Crop]],Input_Scenario,8,FALSE)*Bird_Chronic[[#This Row],[SVm]],""),"")</f>
        <v/>
      </c>
      <c r="R49" s="370" t="str">
        <f>IFERROR(IF(ISNUMBER(INDEX(Active[B_NOAEL], 5)),
                          INDEX(Active[B_NOAEL], 5)/Q49,""),"")</f>
        <v/>
      </c>
      <c r="S49" s="204"/>
      <c r="T49" s="56"/>
      <c r="U49" s="56"/>
      <c r="V49" s="56"/>
      <c r="W49" s="56"/>
      <c r="X49" s="56"/>
      <c r="Y49" s="56"/>
      <c r="Z49" s="56"/>
      <c r="AA49" s="56"/>
      <c r="AB49" s="56"/>
      <c r="AC49" s="56"/>
      <c r="AD49" s="56"/>
      <c r="AE49" s="56"/>
      <c r="AF49" s="56"/>
      <c r="AG49" s="56"/>
      <c r="AH49" s="56"/>
    </row>
    <row r="50" spans="1:34" s="106" customFormat="1" ht="16.5" customHeight="1">
      <c r="A50" s="56"/>
      <c r="B50" s="314" t="str">
        <f t="shared" ca="1" si="0"/>
        <v>No input</v>
      </c>
      <c r="C50" s="72" t="s">
        <v>129</v>
      </c>
      <c r="D50" s="73" t="s">
        <v>111</v>
      </c>
      <c r="E50" s="73" t="s">
        <v>217</v>
      </c>
      <c r="F50" s="113">
        <v>1.1000000000000001</v>
      </c>
      <c r="G50" s="203" t="str">
        <f ca="1">IF(AND(Bird_Chronic[[#This Row],[Relevance]]="Input provided", Count&gt;=1),
       IF(B_ChronicScheme="C(mix)",
                 HLOOKUP(Bird_Chronic[[#This Row],[Crop]], Input_Scenario,10,FALSE)*Bird_Chronic[[#This Row],[SVm]]*HLOOKUP(Bird_Chronic[[#This Row],[Crop]],Input_Scenario,8,FALSE),""),"")</f>
        <v/>
      </c>
      <c r="H50" s="368" t="str">
        <f>IF(Count&gt;=1,
       IF(AND(B_ChronicScheme ="C(mix)", ISNUMBER(G50)), (B_NOAEL_form/G50),
       IF(AND(B_ChronicScheme = "HIsum", Count &gt; 1),
            IF(ISNUMBER(J50), IF(ISNUMBER(J50), 5/J50, 0) + IF(ISNUMBER(L50), 5/L50, 0) + IF(ISNUMBER(N50), 5/N50, 0) + IF(ISNUMBER(P50), 5/P50, 0) + IF(ISNUMBER(R50), 5/R50, 0),""), "")),"")</f>
        <v/>
      </c>
      <c r="I50" s="370" t="str">
        <f>IFERROR(IF(Active1=TRUE,HLOOKUP(Bird_Chronic[[#This Row],[Crop]],Input_Scenario,11,FALSE)*HLOOKUP(Bird_Chronic[[#This Row],[Crop]],Input_Scenario,8,FALSE)*Bird_Chronic[[#This Row],[SVm]],""),"")</f>
        <v/>
      </c>
      <c r="J50" s="370" t="str">
        <f>IFERROR(IF(ISNUMBER(INDEX(Active[B_NOAEL], 1)),
                          INDEX(Active[B_NOAEL], 1)/I50,""),"")</f>
        <v/>
      </c>
      <c r="K50" s="370" t="str">
        <f>IFERROR(IF(Active2=TRUE,HLOOKUP(Bird_Chronic[[#This Row],[Crop]],Input_Scenario,12,FALSE)*HLOOKUP(Bird_Chronic[[#This Row],[Crop]],Input_Scenario,8,FALSE)*Bird_Chronic[[#This Row],[SVm]],""),"")</f>
        <v/>
      </c>
      <c r="L50" s="370" t="str">
        <f>IFERROR(IF(ISNUMBER(INDEX(Active[B_NOAEL], 2)),
                          INDEX(Active[B_NOAEL], 2)/K50,""),"")</f>
        <v/>
      </c>
      <c r="M50" s="370" t="str">
        <f>IFERROR(IF(Active3=TRUE,HLOOKUP(Bird_Chronic[[#This Row],[Crop]],Input_Scenario,12,FALSE)*HLOOKUP(Bird_Chronic[[#This Row],[Crop]],Input_Scenario,8,FALSE)*Bird_Chronic[[#This Row],[SVm]],""),"")</f>
        <v/>
      </c>
      <c r="N50" s="370" t="str">
        <f>IFERROR(IF(ISNUMBER(INDEX(Active[B_NOAEL], 3)),
                          INDEX(Active[B_NOAEL], 3)/M50,""),"")</f>
        <v/>
      </c>
      <c r="O50" s="370" t="str">
        <f>IFERROR(IF(Active4=TRUE,HLOOKUP(Bird_Chronic[[#This Row],[Crop]],Input_Scenario,13,FALSE)*HLOOKUP(Bird_Chronic[[#This Row],[Crop]],Input_Scenario,8,FALSE)*Bird_Chronic[[#This Row],[SVm]],""),"")</f>
        <v/>
      </c>
      <c r="P50" s="370" t="str">
        <f>IFERROR(IF(ISNUMBER(INDEX(Active[B_NOAEL], 4)),
                          INDEX(Active[B_NOAEL], 4)/O50,""),"")</f>
        <v/>
      </c>
      <c r="Q50" s="370" t="str">
        <f>IFERROR(IF(Active5=TRUE,HLOOKUP(Bird_Chronic[[#This Row],[Crop]],Input_Scenario,14,FALSE)*HLOOKUP(Bird_Chronic[[#This Row],[Crop]],Input_Scenario,8,FALSE)*Bird_Chronic[[#This Row],[SVm]],""),"")</f>
        <v/>
      </c>
      <c r="R50" s="370" t="str">
        <f>IFERROR(IF(ISNUMBER(INDEX(Active[B_NOAEL], 5)),
                          INDEX(Active[B_NOAEL], 5)/Q50,""),"")</f>
        <v/>
      </c>
      <c r="S50" s="204"/>
      <c r="T50" s="56"/>
      <c r="U50" s="56"/>
      <c r="V50" s="56"/>
      <c r="W50" s="56"/>
      <c r="X50" s="56"/>
      <c r="Y50" s="56"/>
      <c r="Z50" s="56"/>
      <c r="AA50" s="56"/>
      <c r="AB50" s="56"/>
      <c r="AC50" s="56"/>
      <c r="AD50" s="56"/>
      <c r="AE50" s="56"/>
      <c r="AF50" s="56"/>
      <c r="AG50" s="56"/>
      <c r="AH50" s="56"/>
    </row>
    <row r="51" spans="1:34" s="106" customFormat="1" ht="16.5" customHeight="1">
      <c r="A51" s="56"/>
      <c r="B51" s="314" t="str">
        <f t="shared" ca="1" si="0"/>
        <v>No input</v>
      </c>
      <c r="C51" s="72" t="s">
        <v>129</v>
      </c>
      <c r="D51" s="73" t="s">
        <v>132</v>
      </c>
      <c r="E51" s="73" t="s">
        <v>218</v>
      </c>
      <c r="F51" s="113">
        <v>11.2</v>
      </c>
      <c r="G51" s="203" t="str">
        <f ca="1">IF(AND(Bird_Chronic[[#This Row],[Relevance]]="Input provided", Count&gt;=1),
       IF(B_ChronicScheme="C(mix)",
                 HLOOKUP(Bird_Chronic[[#This Row],[Crop]], Input_Scenario,10,FALSE)*Bird_Chronic[[#This Row],[SVm]]*HLOOKUP(Bird_Chronic[[#This Row],[Crop]],Input_Scenario,8,FALSE),""),"")</f>
        <v/>
      </c>
      <c r="H51" s="368" t="str">
        <f>IF(Count&gt;=1,
       IF(AND(B_ChronicScheme ="C(mix)", ISNUMBER(G51)), (B_NOAEL_form/G51),
       IF(AND(B_ChronicScheme = "HIsum", Count &gt; 1),
            IF(ISNUMBER(J51), IF(ISNUMBER(J51), 5/J51, 0) + IF(ISNUMBER(L51), 5/L51, 0) + IF(ISNUMBER(N51), 5/N51, 0) + IF(ISNUMBER(P51), 5/P51, 0) + IF(ISNUMBER(R51), 5/R51, 0),""), "")),"")</f>
        <v/>
      </c>
      <c r="I51" s="370" t="str">
        <f>IFERROR(IF(Active1=TRUE,HLOOKUP(Bird_Chronic[[#This Row],[Crop]],Input_Scenario,11,FALSE)*HLOOKUP(Bird_Chronic[[#This Row],[Crop]],Input_Scenario,8,FALSE)*Bird_Chronic[[#This Row],[SVm]],""),"")</f>
        <v/>
      </c>
      <c r="J51" s="370" t="str">
        <f>IFERROR(IF(ISNUMBER(INDEX(Active[B_NOAEL], 1)),
                          INDEX(Active[B_NOAEL], 1)/I51,""),"")</f>
        <v/>
      </c>
      <c r="K51" s="370" t="str">
        <f>IFERROR(IF(Active2=TRUE,HLOOKUP(Bird_Chronic[[#This Row],[Crop]],Input_Scenario,12,FALSE)*HLOOKUP(Bird_Chronic[[#This Row],[Crop]],Input_Scenario,8,FALSE)*Bird_Chronic[[#This Row],[SVm]],""),"")</f>
        <v/>
      </c>
      <c r="L51" s="370" t="str">
        <f>IFERROR(IF(ISNUMBER(INDEX(Active[B_NOAEL], 2)),
                          INDEX(Active[B_NOAEL], 2)/K51,""),"")</f>
        <v/>
      </c>
      <c r="M51" s="370" t="str">
        <f>IFERROR(IF(Active3=TRUE,HLOOKUP(Bird_Chronic[[#This Row],[Crop]],Input_Scenario,12,FALSE)*HLOOKUP(Bird_Chronic[[#This Row],[Crop]],Input_Scenario,8,FALSE)*Bird_Chronic[[#This Row],[SVm]],""),"")</f>
        <v/>
      </c>
      <c r="N51" s="370" t="str">
        <f>IFERROR(IF(ISNUMBER(INDEX(Active[B_NOAEL], 3)),
                          INDEX(Active[B_NOAEL], 3)/M51,""),"")</f>
        <v/>
      </c>
      <c r="O51" s="370" t="str">
        <f>IFERROR(IF(Active4=TRUE,HLOOKUP(Bird_Chronic[[#This Row],[Crop]],Input_Scenario,13,FALSE)*HLOOKUP(Bird_Chronic[[#This Row],[Crop]],Input_Scenario,8,FALSE)*Bird_Chronic[[#This Row],[SVm]],""),"")</f>
        <v/>
      </c>
      <c r="P51" s="370" t="str">
        <f>IFERROR(IF(ISNUMBER(INDEX(Active[B_NOAEL], 4)),
                          INDEX(Active[B_NOAEL], 4)/O51,""),"")</f>
        <v/>
      </c>
      <c r="Q51" s="370" t="str">
        <f>IFERROR(IF(Active5=TRUE,HLOOKUP(Bird_Chronic[[#This Row],[Crop]],Input_Scenario,14,FALSE)*HLOOKUP(Bird_Chronic[[#This Row],[Crop]],Input_Scenario,8,FALSE)*Bird_Chronic[[#This Row],[SVm]],""),"")</f>
        <v/>
      </c>
      <c r="R51" s="370" t="str">
        <f>IFERROR(IF(ISNUMBER(INDEX(Active[B_NOAEL], 5)),
                          INDEX(Active[B_NOAEL], 5)/Q51,""),"")</f>
        <v/>
      </c>
      <c r="S51" s="204"/>
      <c r="T51" s="56"/>
      <c r="U51" s="56"/>
      <c r="V51" s="56"/>
      <c r="W51" s="56"/>
      <c r="X51" s="56"/>
      <c r="Y51" s="56"/>
      <c r="Z51" s="56"/>
      <c r="AA51" s="56"/>
      <c r="AB51" s="56"/>
      <c r="AC51" s="56"/>
      <c r="AD51" s="56"/>
      <c r="AE51" s="56"/>
      <c r="AF51" s="56"/>
      <c r="AG51" s="56"/>
      <c r="AH51" s="56"/>
    </row>
    <row r="52" spans="1:34" s="106" customFormat="1" ht="16.5" customHeight="1">
      <c r="A52" s="56"/>
      <c r="B52" s="314" t="str">
        <f t="shared" ca="1" si="0"/>
        <v>No input</v>
      </c>
      <c r="C52" s="72" t="s">
        <v>129</v>
      </c>
      <c r="D52" s="73" t="s">
        <v>134</v>
      </c>
      <c r="E52" s="73" t="s">
        <v>218</v>
      </c>
      <c r="F52" s="113">
        <v>2.8</v>
      </c>
      <c r="G52" s="203" t="str">
        <f ca="1">IF(AND(Bird_Chronic[[#This Row],[Relevance]]="Input provided", Count&gt;=1),
       IF(B_ChronicScheme="C(mix)",
                 HLOOKUP(Bird_Chronic[[#This Row],[Crop]], Input_Scenario,10,FALSE)*Bird_Chronic[[#This Row],[SVm]]*HLOOKUP(Bird_Chronic[[#This Row],[Crop]],Input_Scenario,8,FALSE),""),"")</f>
        <v/>
      </c>
      <c r="H52" s="368" t="str">
        <f>IF(Count&gt;=1,
       IF(AND(B_ChronicScheme ="C(mix)", ISNUMBER(G52)), (B_NOAEL_form/G52),
       IF(AND(B_ChronicScheme = "HIsum", Count &gt; 1),
            IF(ISNUMBER(J52), IF(ISNUMBER(J52), 5/J52, 0) + IF(ISNUMBER(L52), 5/L52, 0) + IF(ISNUMBER(N52), 5/N52, 0) + IF(ISNUMBER(P52), 5/P52, 0) + IF(ISNUMBER(R52), 5/R52, 0),""), "")),"")</f>
        <v/>
      </c>
      <c r="I52" s="370" t="str">
        <f>IFERROR(IF(Active1=TRUE,HLOOKUP(Bird_Chronic[[#This Row],[Crop]],Input_Scenario,11,FALSE)*HLOOKUP(Bird_Chronic[[#This Row],[Crop]],Input_Scenario,8,FALSE)*Bird_Chronic[[#This Row],[SVm]],""),"")</f>
        <v/>
      </c>
      <c r="J52" s="370" t="str">
        <f>IFERROR(IF(ISNUMBER(INDEX(Active[B_NOAEL], 1)),
                          INDEX(Active[B_NOAEL], 1)/I52,""),"")</f>
        <v/>
      </c>
      <c r="K52" s="370" t="str">
        <f>IFERROR(IF(Active2=TRUE,HLOOKUP(Bird_Chronic[[#This Row],[Crop]],Input_Scenario,12,FALSE)*HLOOKUP(Bird_Chronic[[#This Row],[Crop]],Input_Scenario,8,FALSE)*Bird_Chronic[[#This Row],[SVm]],""),"")</f>
        <v/>
      </c>
      <c r="L52" s="370" t="str">
        <f>IFERROR(IF(ISNUMBER(INDEX(Active[B_NOAEL], 2)),
                          INDEX(Active[B_NOAEL], 2)/K52,""),"")</f>
        <v/>
      </c>
      <c r="M52" s="370" t="str">
        <f>IFERROR(IF(Active3=TRUE,HLOOKUP(Bird_Chronic[[#This Row],[Crop]],Input_Scenario,12,FALSE)*HLOOKUP(Bird_Chronic[[#This Row],[Crop]],Input_Scenario,8,FALSE)*Bird_Chronic[[#This Row],[SVm]],""),"")</f>
        <v/>
      </c>
      <c r="N52" s="370" t="str">
        <f>IFERROR(IF(ISNUMBER(INDEX(Active[B_NOAEL], 3)),
                          INDEX(Active[B_NOAEL], 3)/M52,""),"")</f>
        <v/>
      </c>
      <c r="O52" s="370" t="str">
        <f>IFERROR(IF(Active4=TRUE,HLOOKUP(Bird_Chronic[[#This Row],[Crop]],Input_Scenario,13,FALSE)*HLOOKUP(Bird_Chronic[[#This Row],[Crop]],Input_Scenario,8,FALSE)*Bird_Chronic[[#This Row],[SVm]],""),"")</f>
        <v/>
      </c>
      <c r="P52" s="370" t="str">
        <f>IFERROR(IF(ISNUMBER(INDEX(Active[B_NOAEL], 4)),
                          INDEX(Active[B_NOAEL], 4)/O52,""),"")</f>
        <v/>
      </c>
      <c r="Q52" s="370" t="str">
        <f>IFERROR(IF(Active5=TRUE,HLOOKUP(Bird_Chronic[[#This Row],[Crop]],Input_Scenario,14,FALSE)*HLOOKUP(Bird_Chronic[[#This Row],[Crop]],Input_Scenario,8,FALSE)*Bird_Chronic[[#This Row],[SVm]],""),"")</f>
        <v/>
      </c>
      <c r="R52" s="370" t="str">
        <f>IFERROR(IF(ISNUMBER(INDEX(Active[B_NOAEL], 5)),
                          INDEX(Active[B_NOAEL], 5)/Q52,""),"")</f>
        <v/>
      </c>
      <c r="S52" s="204"/>
      <c r="T52" s="56"/>
      <c r="U52" s="56"/>
      <c r="V52" s="56"/>
      <c r="W52" s="56"/>
      <c r="X52" s="56"/>
      <c r="Y52" s="56"/>
      <c r="Z52" s="56"/>
      <c r="AA52" s="56"/>
      <c r="AB52" s="56"/>
      <c r="AC52" s="56"/>
      <c r="AD52" s="56"/>
      <c r="AE52" s="56"/>
      <c r="AF52" s="56"/>
      <c r="AG52" s="56"/>
      <c r="AH52" s="56"/>
    </row>
    <row r="53" spans="1:34" s="106" customFormat="1" ht="16.5" customHeight="1">
      <c r="A53" s="56"/>
      <c r="B53" s="314" t="str">
        <f t="shared" ca="1" si="0"/>
        <v>No input</v>
      </c>
      <c r="C53" s="72" t="s">
        <v>135</v>
      </c>
      <c r="D53" s="73" t="s">
        <v>136</v>
      </c>
      <c r="E53" s="73" t="s">
        <v>219</v>
      </c>
      <c r="F53" s="113">
        <v>32</v>
      </c>
      <c r="G53" s="203" t="str">
        <f ca="1">IF(AND(Bird_Chronic[[#This Row],[Relevance]]="Input provided", Count&gt;=1),
       IF(B_ChronicScheme="C(mix)",
                 HLOOKUP(Bird_Chronic[[#This Row],[Crop]], Input_Scenario,10,FALSE)*Bird_Chronic[[#This Row],[SVm]]*HLOOKUP(Bird_Chronic[[#This Row],[Crop]],Input_Scenario,8,FALSE),""),"")</f>
        <v/>
      </c>
      <c r="H53" s="368" t="str">
        <f>IF(Count&gt;=1,
       IF(AND(B_ChronicScheme ="C(mix)", ISNUMBER(G53)), (B_NOAEL_form/G53),
       IF(AND(B_ChronicScheme = "HIsum", Count &gt; 1),
            IF(ISNUMBER(J53), IF(ISNUMBER(J53), 5/J53, 0) + IF(ISNUMBER(L53), 5/L53, 0) + IF(ISNUMBER(N53), 5/N53, 0) + IF(ISNUMBER(P53), 5/P53, 0) + IF(ISNUMBER(R53), 5/R53, 0),""), "")),"")</f>
        <v/>
      </c>
      <c r="I53" s="370" t="str">
        <f>IFERROR(IF(Active1=TRUE,HLOOKUP(Bird_Chronic[[#This Row],[Crop]],Input_Scenario,11,FALSE)*HLOOKUP(Bird_Chronic[[#This Row],[Crop]],Input_Scenario,8,FALSE)*Bird_Chronic[[#This Row],[SVm]],""),"")</f>
        <v/>
      </c>
      <c r="J53" s="370" t="str">
        <f>IFERROR(IF(ISNUMBER(INDEX(Active[B_NOAEL], 1)),
                          INDEX(Active[B_NOAEL], 1)/I53,""),"")</f>
        <v/>
      </c>
      <c r="K53" s="370" t="str">
        <f>IFERROR(IF(Active2=TRUE,HLOOKUP(Bird_Chronic[[#This Row],[Crop]],Input_Scenario,12,FALSE)*HLOOKUP(Bird_Chronic[[#This Row],[Crop]],Input_Scenario,8,FALSE)*Bird_Chronic[[#This Row],[SVm]],""),"")</f>
        <v/>
      </c>
      <c r="L53" s="370" t="str">
        <f>IFERROR(IF(ISNUMBER(INDEX(Active[B_NOAEL], 2)),
                          INDEX(Active[B_NOAEL], 2)/K53,""),"")</f>
        <v/>
      </c>
      <c r="M53" s="370" t="str">
        <f>IFERROR(IF(Active3=TRUE,HLOOKUP(Bird_Chronic[[#This Row],[Crop]],Input_Scenario,12,FALSE)*HLOOKUP(Bird_Chronic[[#This Row],[Crop]],Input_Scenario,8,FALSE)*Bird_Chronic[[#This Row],[SVm]],""),"")</f>
        <v/>
      </c>
      <c r="N53" s="370" t="str">
        <f>IFERROR(IF(ISNUMBER(INDEX(Active[B_NOAEL], 3)),
                          INDEX(Active[B_NOAEL], 3)/M53,""),"")</f>
        <v/>
      </c>
      <c r="O53" s="370" t="str">
        <f>IFERROR(IF(Active4=TRUE,HLOOKUP(Bird_Chronic[[#This Row],[Crop]],Input_Scenario,13,FALSE)*HLOOKUP(Bird_Chronic[[#This Row],[Crop]],Input_Scenario,8,FALSE)*Bird_Chronic[[#This Row],[SVm]],""),"")</f>
        <v/>
      </c>
      <c r="P53" s="370" t="str">
        <f>IFERROR(IF(ISNUMBER(INDEX(Active[B_NOAEL], 4)),
                          INDEX(Active[B_NOAEL], 4)/O53,""),"")</f>
        <v/>
      </c>
      <c r="Q53" s="370" t="str">
        <f>IFERROR(IF(Active5=TRUE,HLOOKUP(Bird_Chronic[[#This Row],[Crop]],Input_Scenario,14,FALSE)*HLOOKUP(Bird_Chronic[[#This Row],[Crop]],Input_Scenario,8,FALSE)*Bird_Chronic[[#This Row],[SVm]],""),"")</f>
        <v/>
      </c>
      <c r="R53" s="370" t="str">
        <f>IFERROR(IF(ISNUMBER(INDEX(Active[B_NOAEL], 5)),
                          INDEX(Active[B_NOAEL], 5)/Q53,""),"")</f>
        <v/>
      </c>
      <c r="S53" s="204"/>
      <c r="T53" s="56"/>
      <c r="U53" s="56"/>
      <c r="V53" s="56"/>
      <c r="W53" s="56"/>
      <c r="X53" s="56"/>
      <c r="Y53" s="56"/>
      <c r="Z53" s="56"/>
      <c r="AA53" s="56"/>
      <c r="AB53" s="56"/>
      <c r="AC53" s="56"/>
      <c r="AD53" s="56"/>
      <c r="AE53" s="56"/>
      <c r="AF53" s="56"/>
      <c r="AG53" s="56"/>
      <c r="AH53" s="56"/>
    </row>
    <row r="54" spans="1:34" s="106" customFormat="1" ht="16.5" customHeight="1">
      <c r="A54" s="56"/>
      <c r="B54" s="314" t="str">
        <f t="shared" ca="1" si="0"/>
        <v>No input</v>
      </c>
      <c r="C54" s="72" t="s">
        <v>135</v>
      </c>
      <c r="D54" s="73" t="s">
        <v>132</v>
      </c>
      <c r="E54" s="73" t="s">
        <v>209</v>
      </c>
      <c r="F54" s="113">
        <v>11.4</v>
      </c>
      <c r="G54" s="203" t="str">
        <f ca="1">IF(AND(Bird_Chronic[[#This Row],[Relevance]]="Input provided", Count&gt;=1),
       IF(B_ChronicScheme="C(mix)",
                 HLOOKUP(Bird_Chronic[[#This Row],[Crop]], Input_Scenario,10,FALSE)*Bird_Chronic[[#This Row],[SVm]]*HLOOKUP(Bird_Chronic[[#This Row],[Crop]],Input_Scenario,8,FALSE),""),"")</f>
        <v/>
      </c>
      <c r="H54" s="368" t="str">
        <f>IF(Count&gt;=1,
       IF(AND(B_ChronicScheme ="C(mix)", ISNUMBER(G54)), (B_NOAEL_form/G54),
       IF(AND(B_ChronicScheme = "HIsum", Count &gt; 1),
            IF(ISNUMBER(J54), IF(ISNUMBER(J54), 5/J54, 0) + IF(ISNUMBER(L54), 5/L54, 0) + IF(ISNUMBER(N54), 5/N54, 0) + IF(ISNUMBER(P54), 5/P54, 0) + IF(ISNUMBER(R54), 5/R54, 0),""), "")),"")</f>
        <v/>
      </c>
      <c r="I54" s="370" t="str">
        <f>IFERROR(IF(Active1=TRUE,HLOOKUP(Bird_Chronic[[#This Row],[Crop]],Input_Scenario,11,FALSE)*HLOOKUP(Bird_Chronic[[#This Row],[Crop]],Input_Scenario,8,FALSE)*Bird_Chronic[[#This Row],[SVm]],""),"")</f>
        <v/>
      </c>
      <c r="J54" s="370" t="str">
        <f>IFERROR(IF(ISNUMBER(INDEX(Active[B_NOAEL], 1)),
                          INDEX(Active[B_NOAEL], 1)/I54,""),"")</f>
        <v/>
      </c>
      <c r="K54" s="370" t="str">
        <f>IFERROR(IF(Active2=TRUE,HLOOKUP(Bird_Chronic[[#This Row],[Crop]],Input_Scenario,12,FALSE)*HLOOKUP(Bird_Chronic[[#This Row],[Crop]],Input_Scenario,8,FALSE)*Bird_Chronic[[#This Row],[SVm]],""),"")</f>
        <v/>
      </c>
      <c r="L54" s="370" t="str">
        <f>IFERROR(IF(ISNUMBER(INDEX(Active[B_NOAEL], 2)),
                          INDEX(Active[B_NOAEL], 2)/K54,""),"")</f>
        <v/>
      </c>
      <c r="M54" s="370" t="str">
        <f>IFERROR(IF(Active3=TRUE,HLOOKUP(Bird_Chronic[[#This Row],[Crop]],Input_Scenario,12,FALSE)*HLOOKUP(Bird_Chronic[[#This Row],[Crop]],Input_Scenario,8,FALSE)*Bird_Chronic[[#This Row],[SVm]],""),"")</f>
        <v/>
      </c>
      <c r="N54" s="370" t="str">
        <f>IFERROR(IF(ISNUMBER(INDEX(Active[B_NOAEL], 3)),
                          INDEX(Active[B_NOAEL], 3)/M54,""),"")</f>
        <v/>
      </c>
      <c r="O54" s="370" t="str">
        <f>IFERROR(IF(Active4=TRUE,HLOOKUP(Bird_Chronic[[#This Row],[Crop]],Input_Scenario,13,FALSE)*HLOOKUP(Bird_Chronic[[#This Row],[Crop]],Input_Scenario,8,FALSE)*Bird_Chronic[[#This Row],[SVm]],""),"")</f>
        <v/>
      </c>
      <c r="P54" s="370" t="str">
        <f>IFERROR(IF(ISNUMBER(INDEX(Active[B_NOAEL], 4)),
                          INDEX(Active[B_NOAEL], 4)/O54,""),"")</f>
        <v/>
      </c>
      <c r="Q54" s="370" t="str">
        <f>IFERROR(IF(Active5=TRUE,HLOOKUP(Bird_Chronic[[#This Row],[Crop]],Input_Scenario,14,FALSE)*HLOOKUP(Bird_Chronic[[#This Row],[Crop]],Input_Scenario,8,FALSE)*Bird_Chronic[[#This Row],[SVm]],""),"")</f>
        <v/>
      </c>
      <c r="R54" s="370" t="str">
        <f>IFERROR(IF(ISNUMBER(INDEX(Active[B_NOAEL], 5)),
                          INDEX(Active[B_NOAEL], 5)/Q54,""),"")</f>
        <v/>
      </c>
      <c r="S54" s="204"/>
      <c r="T54" s="56"/>
      <c r="U54" s="56"/>
      <c r="V54" s="56"/>
      <c r="W54" s="56"/>
      <c r="X54" s="56"/>
      <c r="Y54" s="56"/>
      <c r="Z54" s="56"/>
      <c r="AA54" s="56"/>
      <c r="AB54" s="56"/>
      <c r="AC54" s="56"/>
      <c r="AD54" s="56"/>
      <c r="AE54" s="56"/>
      <c r="AF54" s="56"/>
      <c r="AG54" s="56"/>
      <c r="AH54" s="56"/>
    </row>
    <row r="55" spans="1:34" s="106" customFormat="1" ht="16.5" customHeight="1">
      <c r="A55" s="56"/>
      <c r="B55" s="314" t="str">
        <f t="shared" ca="1" si="0"/>
        <v>No input</v>
      </c>
      <c r="C55" s="72" t="s">
        <v>135</v>
      </c>
      <c r="D55" s="73" t="s">
        <v>108</v>
      </c>
      <c r="E55" s="73" t="s">
        <v>211</v>
      </c>
      <c r="F55" s="113">
        <v>11.3</v>
      </c>
      <c r="G55" s="203" t="str">
        <f ca="1">IF(AND(Bird_Chronic[[#This Row],[Relevance]]="Input provided", Count&gt;=1),
       IF(B_ChronicScheme="C(mix)",
                 HLOOKUP(Bird_Chronic[[#This Row],[Crop]], Input_Scenario,10,FALSE)*Bird_Chronic[[#This Row],[SVm]]*HLOOKUP(Bird_Chronic[[#This Row],[Crop]],Input_Scenario,8,FALSE),""),"")</f>
        <v/>
      </c>
      <c r="H55" s="368" t="str">
        <f>IF(Count&gt;=1,
       IF(AND(B_ChronicScheme ="C(mix)", ISNUMBER(G55)), (B_NOAEL_form/G55),
       IF(AND(B_ChronicScheme = "HIsum", Count &gt; 1),
            IF(ISNUMBER(J55), IF(ISNUMBER(J55), 5/J55, 0) + IF(ISNUMBER(L55), 5/L55, 0) + IF(ISNUMBER(N55), 5/N55, 0) + IF(ISNUMBER(P55), 5/P55, 0) + IF(ISNUMBER(R55), 5/R55, 0),""), "")),"")</f>
        <v/>
      </c>
      <c r="I55" s="370" t="str">
        <f>IFERROR(IF(Active1=TRUE,HLOOKUP(Bird_Chronic[[#This Row],[Crop]],Input_Scenario,11,FALSE)*HLOOKUP(Bird_Chronic[[#This Row],[Crop]],Input_Scenario,8,FALSE)*Bird_Chronic[[#This Row],[SVm]],""),"")</f>
        <v/>
      </c>
      <c r="J55" s="370" t="str">
        <f>IFERROR(IF(ISNUMBER(INDEX(Active[B_NOAEL], 1)),
                          INDEX(Active[B_NOAEL], 1)/I55,""),"")</f>
        <v/>
      </c>
      <c r="K55" s="370" t="str">
        <f>IFERROR(IF(Active2=TRUE,HLOOKUP(Bird_Chronic[[#This Row],[Crop]],Input_Scenario,12,FALSE)*HLOOKUP(Bird_Chronic[[#This Row],[Crop]],Input_Scenario,8,FALSE)*Bird_Chronic[[#This Row],[SVm]],""),"")</f>
        <v/>
      </c>
      <c r="L55" s="370" t="str">
        <f>IFERROR(IF(ISNUMBER(INDEX(Active[B_NOAEL], 2)),
                          INDEX(Active[B_NOAEL], 2)/K55,""),"")</f>
        <v/>
      </c>
      <c r="M55" s="370" t="str">
        <f>IFERROR(IF(Active3=TRUE,HLOOKUP(Bird_Chronic[[#This Row],[Crop]],Input_Scenario,12,FALSE)*HLOOKUP(Bird_Chronic[[#This Row],[Crop]],Input_Scenario,8,FALSE)*Bird_Chronic[[#This Row],[SVm]],""),"")</f>
        <v/>
      </c>
      <c r="N55" s="370" t="str">
        <f>IFERROR(IF(ISNUMBER(INDEX(Active[B_NOAEL], 3)),
                          INDEX(Active[B_NOAEL], 3)/M55,""),"")</f>
        <v/>
      </c>
      <c r="O55" s="370" t="str">
        <f>IFERROR(IF(Active4=TRUE,HLOOKUP(Bird_Chronic[[#This Row],[Crop]],Input_Scenario,13,FALSE)*HLOOKUP(Bird_Chronic[[#This Row],[Crop]],Input_Scenario,8,FALSE)*Bird_Chronic[[#This Row],[SVm]],""),"")</f>
        <v/>
      </c>
      <c r="P55" s="370" t="str">
        <f>IFERROR(IF(ISNUMBER(INDEX(Active[B_NOAEL], 4)),
                          INDEX(Active[B_NOAEL], 4)/O55,""),"")</f>
        <v/>
      </c>
      <c r="Q55" s="370" t="str">
        <f>IFERROR(IF(Active5=TRUE,HLOOKUP(Bird_Chronic[[#This Row],[Crop]],Input_Scenario,14,FALSE)*HLOOKUP(Bird_Chronic[[#This Row],[Crop]],Input_Scenario,8,FALSE)*Bird_Chronic[[#This Row],[SVm]],""),"")</f>
        <v/>
      </c>
      <c r="R55" s="370" t="str">
        <f>IFERROR(IF(ISNUMBER(INDEX(Active[B_NOAEL], 5)),
                          INDEX(Active[B_NOAEL], 5)/Q55,""),"")</f>
        <v/>
      </c>
      <c r="S55" s="204"/>
      <c r="T55" s="56"/>
      <c r="U55" s="56"/>
      <c r="V55" s="56"/>
      <c r="W55" s="56"/>
      <c r="X55" s="56"/>
      <c r="Y55" s="56"/>
      <c r="Z55" s="56"/>
      <c r="AA55" s="56"/>
      <c r="AB55" s="56"/>
      <c r="AC55" s="56"/>
      <c r="AD55" s="56"/>
      <c r="AE55" s="56"/>
      <c r="AF55" s="56"/>
      <c r="AG55" s="56"/>
      <c r="AH55" s="56"/>
    </row>
    <row r="56" spans="1:34" s="106" customFormat="1" ht="16.5" customHeight="1">
      <c r="A56" s="56"/>
      <c r="B56" s="314" t="str">
        <f t="shared" ca="1" si="0"/>
        <v>No input</v>
      </c>
      <c r="C56" s="72" t="s">
        <v>135</v>
      </c>
      <c r="D56" s="73" t="s">
        <v>132</v>
      </c>
      <c r="E56" s="73" t="s">
        <v>210</v>
      </c>
      <c r="F56" s="113">
        <v>10.9</v>
      </c>
      <c r="G56" s="203" t="str">
        <f ca="1">IF(AND(Bird_Chronic[[#This Row],[Relevance]]="Input provided", Count&gt;=1),
       IF(B_ChronicScheme="C(mix)",
                 HLOOKUP(Bird_Chronic[[#This Row],[Crop]], Input_Scenario,10,FALSE)*Bird_Chronic[[#This Row],[SVm]]*HLOOKUP(Bird_Chronic[[#This Row],[Crop]],Input_Scenario,8,FALSE),""),"")</f>
        <v/>
      </c>
      <c r="H56" s="368" t="str">
        <f>IF(Count&gt;=1,
       IF(AND(B_ChronicScheme ="C(mix)", ISNUMBER(G56)), (B_NOAEL_form/G56),
       IF(AND(B_ChronicScheme = "HIsum", Count &gt; 1),
            IF(ISNUMBER(J56), IF(ISNUMBER(J56), 5/J56, 0) + IF(ISNUMBER(L56), 5/L56, 0) + IF(ISNUMBER(N56), 5/N56, 0) + IF(ISNUMBER(P56), 5/P56, 0) + IF(ISNUMBER(R56), 5/R56, 0),""), "")),"")</f>
        <v/>
      </c>
      <c r="I56" s="370" t="str">
        <f>IFERROR(IF(Active1=TRUE,HLOOKUP(Bird_Chronic[[#This Row],[Crop]],Input_Scenario,11,FALSE)*HLOOKUP(Bird_Chronic[[#This Row],[Crop]],Input_Scenario,8,FALSE)*Bird_Chronic[[#This Row],[SVm]],""),"")</f>
        <v/>
      </c>
      <c r="J56" s="370" t="str">
        <f>IFERROR(IF(ISNUMBER(INDEX(Active[B_NOAEL], 1)),
                          INDEX(Active[B_NOAEL], 1)/I56,""),"")</f>
        <v/>
      </c>
      <c r="K56" s="370" t="str">
        <f>IFERROR(IF(Active2=TRUE,HLOOKUP(Bird_Chronic[[#This Row],[Crop]],Input_Scenario,12,FALSE)*HLOOKUP(Bird_Chronic[[#This Row],[Crop]],Input_Scenario,8,FALSE)*Bird_Chronic[[#This Row],[SVm]],""),"")</f>
        <v/>
      </c>
      <c r="L56" s="370" t="str">
        <f>IFERROR(IF(ISNUMBER(INDEX(Active[B_NOAEL], 2)),
                          INDEX(Active[B_NOAEL], 2)/K56,""),"")</f>
        <v/>
      </c>
      <c r="M56" s="370" t="str">
        <f>IFERROR(IF(Active3=TRUE,HLOOKUP(Bird_Chronic[[#This Row],[Crop]],Input_Scenario,12,FALSE)*HLOOKUP(Bird_Chronic[[#This Row],[Crop]],Input_Scenario,8,FALSE)*Bird_Chronic[[#This Row],[SVm]],""),"")</f>
        <v/>
      </c>
      <c r="N56" s="370" t="str">
        <f>IFERROR(IF(ISNUMBER(INDEX(Active[B_NOAEL], 3)),
                          INDEX(Active[B_NOAEL], 3)/M56,""),"")</f>
        <v/>
      </c>
      <c r="O56" s="370" t="str">
        <f>IFERROR(IF(Active4=TRUE,HLOOKUP(Bird_Chronic[[#This Row],[Crop]],Input_Scenario,13,FALSE)*HLOOKUP(Bird_Chronic[[#This Row],[Crop]],Input_Scenario,8,FALSE)*Bird_Chronic[[#This Row],[SVm]],""),"")</f>
        <v/>
      </c>
      <c r="P56" s="370" t="str">
        <f>IFERROR(IF(ISNUMBER(INDEX(Active[B_NOAEL], 4)),
                          INDEX(Active[B_NOAEL], 4)/O56,""),"")</f>
        <v/>
      </c>
      <c r="Q56" s="370" t="str">
        <f>IFERROR(IF(Active5=TRUE,HLOOKUP(Bird_Chronic[[#This Row],[Crop]],Input_Scenario,14,FALSE)*HLOOKUP(Bird_Chronic[[#This Row],[Crop]],Input_Scenario,8,FALSE)*Bird_Chronic[[#This Row],[SVm]],""),"")</f>
        <v/>
      </c>
      <c r="R56" s="370" t="str">
        <f>IFERROR(IF(ISNUMBER(INDEX(Active[B_NOAEL], 5)),
                          INDEX(Active[B_NOAEL], 5)/Q56,""),"")</f>
        <v/>
      </c>
      <c r="S56" s="204"/>
      <c r="T56" s="56"/>
      <c r="U56" s="56"/>
      <c r="V56" s="56"/>
      <c r="W56" s="56"/>
      <c r="X56" s="56"/>
      <c r="Y56" s="56"/>
      <c r="Z56" s="56"/>
      <c r="AA56" s="56"/>
      <c r="AB56" s="56"/>
      <c r="AC56" s="56"/>
      <c r="AD56" s="56"/>
      <c r="AE56" s="56"/>
      <c r="AF56" s="56"/>
      <c r="AG56" s="56"/>
      <c r="AH56" s="56"/>
    </row>
    <row r="57" spans="1:34" s="106" customFormat="1" ht="16.5" customHeight="1">
      <c r="A57" s="56"/>
      <c r="B57" s="314" t="str">
        <f t="shared" ca="1" si="0"/>
        <v>No input</v>
      </c>
      <c r="C57" s="72" t="s">
        <v>135</v>
      </c>
      <c r="D57" s="73" t="s">
        <v>134</v>
      </c>
      <c r="E57" s="73" t="s">
        <v>209</v>
      </c>
      <c r="F57" s="113">
        <v>3.4</v>
      </c>
      <c r="G57" s="203" t="str">
        <f ca="1">IF(AND(Bird_Chronic[[#This Row],[Relevance]]="Input provided", Count&gt;=1),
       IF(B_ChronicScheme="C(mix)",
                 HLOOKUP(Bird_Chronic[[#This Row],[Crop]], Input_Scenario,10,FALSE)*Bird_Chronic[[#This Row],[SVm]]*HLOOKUP(Bird_Chronic[[#This Row],[Crop]],Input_Scenario,8,FALSE),""),"")</f>
        <v/>
      </c>
      <c r="H57" s="368" t="str">
        <f>IF(Count&gt;=1,
       IF(AND(B_ChronicScheme ="C(mix)", ISNUMBER(G57)), (B_NOAEL_form/G57),
       IF(AND(B_ChronicScheme = "HIsum", Count &gt; 1),
            IF(ISNUMBER(J57), IF(ISNUMBER(J57), 5/J57, 0) + IF(ISNUMBER(L57), 5/L57, 0) + IF(ISNUMBER(N57), 5/N57, 0) + IF(ISNUMBER(P57), 5/P57, 0) + IF(ISNUMBER(R57), 5/R57, 0),""), "")),"")</f>
        <v/>
      </c>
      <c r="I57" s="370" t="str">
        <f>IFERROR(IF(Active1=TRUE,HLOOKUP(Bird_Chronic[[#This Row],[Crop]],Input_Scenario,11,FALSE)*HLOOKUP(Bird_Chronic[[#This Row],[Crop]],Input_Scenario,8,FALSE)*Bird_Chronic[[#This Row],[SVm]],""),"")</f>
        <v/>
      </c>
      <c r="J57" s="370" t="str">
        <f>IFERROR(IF(ISNUMBER(INDEX(Active[B_NOAEL], 1)),
                          INDEX(Active[B_NOAEL], 1)/I57,""),"")</f>
        <v/>
      </c>
      <c r="K57" s="370" t="str">
        <f>IFERROR(IF(Active2=TRUE,HLOOKUP(Bird_Chronic[[#This Row],[Crop]],Input_Scenario,12,FALSE)*HLOOKUP(Bird_Chronic[[#This Row],[Crop]],Input_Scenario,8,FALSE)*Bird_Chronic[[#This Row],[SVm]],""),"")</f>
        <v/>
      </c>
      <c r="L57" s="370" t="str">
        <f>IFERROR(IF(ISNUMBER(INDEX(Active[B_NOAEL], 2)),
                          INDEX(Active[B_NOAEL], 2)/K57,""),"")</f>
        <v/>
      </c>
      <c r="M57" s="370" t="str">
        <f>IFERROR(IF(Active3=TRUE,HLOOKUP(Bird_Chronic[[#This Row],[Crop]],Input_Scenario,12,FALSE)*HLOOKUP(Bird_Chronic[[#This Row],[Crop]],Input_Scenario,8,FALSE)*Bird_Chronic[[#This Row],[SVm]],""),"")</f>
        <v/>
      </c>
      <c r="N57" s="370" t="str">
        <f>IFERROR(IF(ISNUMBER(INDEX(Active[B_NOAEL], 3)),
                          INDEX(Active[B_NOAEL], 3)/M57,""),"")</f>
        <v/>
      </c>
      <c r="O57" s="370" t="str">
        <f>IFERROR(IF(Active4=TRUE,HLOOKUP(Bird_Chronic[[#This Row],[Crop]],Input_Scenario,13,FALSE)*HLOOKUP(Bird_Chronic[[#This Row],[Crop]],Input_Scenario,8,FALSE)*Bird_Chronic[[#This Row],[SVm]],""),"")</f>
        <v/>
      </c>
      <c r="P57" s="370" t="str">
        <f>IFERROR(IF(ISNUMBER(INDEX(Active[B_NOAEL], 4)),
                          INDEX(Active[B_NOAEL], 4)/O57,""),"")</f>
        <v/>
      </c>
      <c r="Q57" s="370" t="str">
        <f>IFERROR(IF(Active5=TRUE,HLOOKUP(Bird_Chronic[[#This Row],[Crop]],Input_Scenario,14,FALSE)*HLOOKUP(Bird_Chronic[[#This Row],[Crop]],Input_Scenario,8,FALSE)*Bird_Chronic[[#This Row],[SVm]],""),"")</f>
        <v/>
      </c>
      <c r="R57" s="370" t="str">
        <f>IFERROR(IF(ISNUMBER(INDEX(Active[B_NOAEL], 5)),
                          INDEX(Active[B_NOAEL], 5)/Q57,""),"")</f>
        <v/>
      </c>
      <c r="S57" s="204"/>
      <c r="T57" s="56"/>
      <c r="U57" s="56"/>
      <c r="V57" s="56"/>
      <c r="W57" s="56"/>
      <c r="X57" s="56"/>
      <c r="Y57" s="56"/>
      <c r="Z57" s="56"/>
      <c r="AA57" s="56"/>
      <c r="AB57" s="56"/>
      <c r="AC57" s="56"/>
      <c r="AD57" s="56"/>
      <c r="AE57" s="56"/>
      <c r="AF57" s="56"/>
      <c r="AG57" s="56"/>
      <c r="AH57" s="56"/>
    </row>
    <row r="58" spans="1:34" s="106" customFormat="1" ht="16.5" customHeight="1">
      <c r="A58" s="56"/>
      <c r="B58" s="314" t="str">
        <f t="shared" ca="1" si="0"/>
        <v>No input</v>
      </c>
      <c r="C58" s="72" t="s">
        <v>135</v>
      </c>
      <c r="D58" s="73" t="s">
        <v>136</v>
      </c>
      <c r="E58" s="73" t="s">
        <v>220</v>
      </c>
      <c r="F58" s="113">
        <v>20.7</v>
      </c>
      <c r="G58" s="203" t="str">
        <f ca="1">IF(AND(Bird_Chronic[[#This Row],[Relevance]]="Input provided", Count&gt;=1),
       IF(B_ChronicScheme="C(mix)",
                 HLOOKUP(Bird_Chronic[[#This Row],[Crop]], Input_Scenario,10,FALSE)*Bird_Chronic[[#This Row],[SVm]]*HLOOKUP(Bird_Chronic[[#This Row],[Crop]],Input_Scenario,8,FALSE),""),"")</f>
        <v/>
      </c>
      <c r="H58" s="368" t="str">
        <f>IF(Count&gt;=1,
       IF(AND(B_ChronicScheme ="C(mix)", ISNUMBER(G58)), (B_NOAEL_form/G58),
       IF(AND(B_ChronicScheme = "HIsum", Count &gt; 1),
            IF(ISNUMBER(J58), IF(ISNUMBER(J58), 5/J58, 0) + IF(ISNUMBER(L58), 5/L58, 0) + IF(ISNUMBER(N58), 5/N58, 0) + IF(ISNUMBER(P58), 5/P58, 0) + IF(ISNUMBER(R58), 5/R58, 0),""), "")),"")</f>
        <v/>
      </c>
      <c r="I58" s="370" t="str">
        <f>IFERROR(IF(Active1=TRUE,HLOOKUP(Bird_Chronic[[#This Row],[Crop]],Input_Scenario,11,FALSE)*HLOOKUP(Bird_Chronic[[#This Row],[Crop]],Input_Scenario,8,FALSE)*Bird_Chronic[[#This Row],[SVm]],""),"")</f>
        <v/>
      </c>
      <c r="J58" s="370" t="str">
        <f>IFERROR(IF(ISNUMBER(INDEX(Active[B_NOAEL], 1)),
                          INDEX(Active[B_NOAEL], 1)/I58,""),"")</f>
        <v/>
      </c>
      <c r="K58" s="370" t="str">
        <f>IFERROR(IF(Active2=TRUE,HLOOKUP(Bird_Chronic[[#This Row],[Crop]],Input_Scenario,12,FALSE)*HLOOKUP(Bird_Chronic[[#This Row],[Crop]],Input_Scenario,8,FALSE)*Bird_Chronic[[#This Row],[SVm]],""),"")</f>
        <v/>
      </c>
      <c r="L58" s="370" t="str">
        <f>IFERROR(IF(ISNUMBER(INDEX(Active[B_NOAEL], 2)),
                          INDEX(Active[B_NOAEL], 2)/K58,""),"")</f>
        <v/>
      </c>
      <c r="M58" s="370" t="str">
        <f>IFERROR(IF(Active3=TRUE,HLOOKUP(Bird_Chronic[[#This Row],[Crop]],Input_Scenario,12,FALSE)*HLOOKUP(Bird_Chronic[[#This Row],[Crop]],Input_Scenario,8,FALSE)*Bird_Chronic[[#This Row],[SVm]],""),"")</f>
        <v/>
      </c>
      <c r="N58" s="370" t="str">
        <f>IFERROR(IF(ISNUMBER(INDEX(Active[B_NOAEL], 3)),
                          INDEX(Active[B_NOAEL], 3)/M58,""),"")</f>
        <v/>
      </c>
      <c r="O58" s="370" t="str">
        <f>IFERROR(IF(Active4=TRUE,HLOOKUP(Bird_Chronic[[#This Row],[Crop]],Input_Scenario,13,FALSE)*HLOOKUP(Bird_Chronic[[#This Row],[Crop]],Input_Scenario,8,FALSE)*Bird_Chronic[[#This Row],[SVm]],""),"")</f>
        <v/>
      </c>
      <c r="P58" s="370" t="str">
        <f>IFERROR(IF(ISNUMBER(INDEX(Active[B_NOAEL], 4)),
                          INDEX(Active[B_NOAEL], 4)/O58,""),"")</f>
        <v/>
      </c>
      <c r="Q58" s="370" t="str">
        <f>IFERROR(IF(Active5=TRUE,HLOOKUP(Bird_Chronic[[#This Row],[Crop]],Input_Scenario,14,FALSE)*HLOOKUP(Bird_Chronic[[#This Row],[Crop]],Input_Scenario,8,FALSE)*Bird_Chronic[[#This Row],[SVm]],""),"")</f>
        <v/>
      </c>
      <c r="R58" s="370" t="str">
        <f>IFERROR(IF(ISNUMBER(INDEX(Active[B_NOAEL], 5)),
                          INDEX(Active[B_NOAEL], 5)/Q58,""),"")</f>
        <v/>
      </c>
      <c r="S58" s="204"/>
      <c r="T58" s="56"/>
      <c r="U58" s="56"/>
      <c r="V58" s="56"/>
      <c r="W58" s="56"/>
      <c r="X58" s="56"/>
      <c r="Y58" s="56"/>
      <c r="Z58" s="56"/>
      <c r="AA58" s="56"/>
      <c r="AB58" s="56"/>
      <c r="AC58" s="56"/>
      <c r="AD58" s="56"/>
      <c r="AE58" s="56"/>
      <c r="AF58" s="56"/>
      <c r="AG58" s="56"/>
      <c r="AH58" s="56"/>
    </row>
    <row r="59" spans="1:34" s="106" customFormat="1" ht="16.5" customHeight="1">
      <c r="A59" s="56"/>
      <c r="B59" s="314" t="str">
        <f t="shared" ca="1" si="0"/>
        <v>No input</v>
      </c>
      <c r="C59" s="72" t="s">
        <v>135</v>
      </c>
      <c r="D59" s="73" t="s">
        <v>134</v>
      </c>
      <c r="E59" s="73" t="s">
        <v>210</v>
      </c>
      <c r="F59" s="113">
        <v>3.3</v>
      </c>
      <c r="G59" s="203" t="str">
        <f ca="1">IF(AND(Bird_Chronic[[#This Row],[Relevance]]="Input provided", Count&gt;=1),
       IF(B_ChronicScheme="C(mix)",
                 HLOOKUP(Bird_Chronic[[#This Row],[Crop]], Input_Scenario,10,FALSE)*Bird_Chronic[[#This Row],[SVm]]*HLOOKUP(Bird_Chronic[[#This Row],[Crop]],Input_Scenario,8,FALSE),""),"")</f>
        <v/>
      </c>
      <c r="H59" s="368" t="str">
        <f>IF(Count&gt;=1,
       IF(AND(B_ChronicScheme ="C(mix)", ISNUMBER(G59)), (B_NOAEL_form/G59),
       IF(AND(B_ChronicScheme = "HIsum", Count &gt; 1),
            IF(ISNUMBER(J59), IF(ISNUMBER(J59), 5/J59, 0) + IF(ISNUMBER(L59), 5/L59, 0) + IF(ISNUMBER(N59), 5/N59, 0) + IF(ISNUMBER(P59), 5/P59, 0) + IF(ISNUMBER(R59), 5/R59, 0),""), "")),"")</f>
        <v/>
      </c>
      <c r="I59" s="370" t="str">
        <f>IFERROR(IF(Active1=TRUE,HLOOKUP(Bird_Chronic[[#This Row],[Crop]],Input_Scenario,11,FALSE)*HLOOKUP(Bird_Chronic[[#This Row],[Crop]],Input_Scenario,8,FALSE)*Bird_Chronic[[#This Row],[SVm]],""),"")</f>
        <v/>
      </c>
      <c r="J59" s="370" t="str">
        <f>IFERROR(IF(ISNUMBER(INDEX(Active[B_NOAEL], 1)),
                          INDEX(Active[B_NOAEL], 1)/I59,""),"")</f>
        <v/>
      </c>
      <c r="K59" s="370" t="str">
        <f>IFERROR(IF(Active2=TRUE,HLOOKUP(Bird_Chronic[[#This Row],[Crop]],Input_Scenario,12,FALSE)*HLOOKUP(Bird_Chronic[[#This Row],[Crop]],Input_Scenario,8,FALSE)*Bird_Chronic[[#This Row],[SVm]],""),"")</f>
        <v/>
      </c>
      <c r="L59" s="370" t="str">
        <f>IFERROR(IF(ISNUMBER(INDEX(Active[B_NOAEL], 2)),
                          INDEX(Active[B_NOAEL], 2)/K59,""),"")</f>
        <v/>
      </c>
      <c r="M59" s="370" t="str">
        <f>IFERROR(IF(Active3=TRUE,HLOOKUP(Bird_Chronic[[#This Row],[Crop]],Input_Scenario,12,FALSE)*HLOOKUP(Bird_Chronic[[#This Row],[Crop]],Input_Scenario,8,FALSE)*Bird_Chronic[[#This Row],[SVm]],""),"")</f>
        <v/>
      </c>
      <c r="N59" s="370" t="str">
        <f>IFERROR(IF(ISNUMBER(INDEX(Active[B_NOAEL], 3)),
                          INDEX(Active[B_NOAEL], 3)/M59,""),"")</f>
        <v/>
      </c>
      <c r="O59" s="370" t="str">
        <f>IFERROR(IF(Active4=TRUE,HLOOKUP(Bird_Chronic[[#This Row],[Crop]],Input_Scenario,13,FALSE)*HLOOKUP(Bird_Chronic[[#This Row],[Crop]],Input_Scenario,8,FALSE)*Bird_Chronic[[#This Row],[SVm]],""),"")</f>
        <v/>
      </c>
      <c r="P59" s="370" t="str">
        <f>IFERROR(IF(ISNUMBER(INDEX(Active[B_NOAEL], 4)),
                          INDEX(Active[B_NOAEL], 4)/O59,""),"")</f>
        <v/>
      </c>
      <c r="Q59" s="370" t="str">
        <f>IFERROR(IF(Active5=TRUE,HLOOKUP(Bird_Chronic[[#This Row],[Crop]],Input_Scenario,14,FALSE)*HLOOKUP(Bird_Chronic[[#This Row],[Crop]],Input_Scenario,8,FALSE)*Bird_Chronic[[#This Row],[SVm]],""),"")</f>
        <v/>
      </c>
      <c r="R59" s="370" t="str">
        <f>IFERROR(IF(ISNUMBER(INDEX(Active[B_NOAEL], 5)),
                          INDEX(Active[B_NOAEL], 5)/Q59,""),"")</f>
        <v/>
      </c>
      <c r="S59" s="204"/>
      <c r="T59" s="56"/>
      <c r="U59" s="56"/>
      <c r="V59" s="56"/>
      <c r="W59" s="56"/>
      <c r="X59" s="56"/>
      <c r="Y59" s="56"/>
      <c r="Z59" s="56"/>
      <c r="AA59" s="56"/>
      <c r="AB59" s="56"/>
      <c r="AC59" s="56"/>
      <c r="AD59" s="56"/>
      <c r="AE59" s="56"/>
      <c r="AF59" s="56"/>
      <c r="AG59" s="56"/>
      <c r="AH59" s="56"/>
    </row>
    <row r="60" spans="1:34" s="106" customFormat="1" ht="16.5" customHeight="1">
      <c r="A60" s="56"/>
      <c r="B60" s="314" t="str">
        <f t="shared" ca="1" si="0"/>
        <v>No input</v>
      </c>
      <c r="C60" s="72" t="s">
        <v>135</v>
      </c>
      <c r="D60" s="73" t="s">
        <v>111</v>
      </c>
      <c r="E60" s="73" t="s">
        <v>211</v>
      </c>
      <c r="F60" s="113">
        <v>9.6999999999999993</v>
      </c>
      <c r="G60" s="203" t="str">
        <f ca="1">IF(AND(Bird_Chronic[[#This Row],[Relevance]]="Input provided", Count&gt;=1),
       IF(B_ChronicScheme="C(mix)",
                 HLOOKUP(Bird_Chronic[[#This Row],[Crop]], Input_Scenario,10,FALSE)*Bird_Chronic[[#This Row],[SVm]]*HLOOKUP(Bird_Chronic[[#This Row],[Crop]],Input_Scenario,8,FALSE),""),"")</f>
        <v/>
      </c>
      <c r="H60" s="368" t="str">
        <f>IF(Count&gt;=1,
       IF(AND(B_ChronicScheme ="C(mix)", ISNUMBER(G60)), (B_NOAEL_form/G60),
       IF(AND(B_ChronicScheme = "HIsum", Count &gt; 1),
            IF(ISNUMBER(J60), IF(ISNUMBER(J60), 5/J60, 0) + IF(ISNUMBER(L60), 5/L60, 0) + IF(ISNUMBER(N60), 5/N60, 0) + IF(ISNUMBER(P60), 5/P60, 0) + IF(ISNUMBER(R60), 5/R60, 0),""), "")),"")</f>
        <v/>
      </c>
      <c r="I60" s="370" t="str">
        <f>IFERROR(IF(Active1=TRUE,HLOOKUP(Bird_Chronic[[#This Row],[Crop]],Input_Scenario,11,FALSE)*HLOOKUP(Bird_Chronic[[#This Row],[Crop]],Input_Scenario,8,FALSE)*Bird_Chronic[[#This Row],[SVm]],""),"")</f>
        <v/>
      </c>
      <c r="J60" s="370" t="str">
        <f>IFERROR(IF(ISNUMBER(INDEX(Active[B_NOAEL], 1)),
                          INDEX(Active[B_NOAEL], 1)/I60,""),"")</f>
        <v/>
      </c>
      <c r="K60" s="370" t="str">
        <f>IFERROR(IF(Active2=TRUE,HLOOKUP(Bird_Chronic[[#This Row],[Crop]],Input_Scenario,12,FALSE)*HLOOKUP(Bird_Chronic[[#This Row],[Crop]],Input_Scenario,8,FALSE)*Bird_Chronic[[#This Row],[SVm]],""),"")</f>
        <v/>
      </c>
      <c r="L60" s="370" t="str">
        <f>IFERROR(IF(ISNUMBER(INDEX(Active[B_NOAEL], 2)),
                          INDEX(Active[B_NOAEL], 2)/K60,""),"")</f>
        <v/>
      </c>
      <c r="M60" s="370" t="str">
        <f>IFERROR(IF(Active3=TRUE,HLOOKUP(Bird_Chronic[[#This Row],[Crop]],Input_Scenario,12,FALSE)*HLOOKUP(Bird_Chronic[[#This Row],[Crop]],Input_Scenario,8,FALSE)*Bird_Chronic[[#This Row],[SVm]],""),"")</f>
        <v/>
      </c>
      <c r="N60" s="370" t="str">
        <f>IFERROR(IF(ISNUMBER(INDEX(Active[B_NOAEL], 3)),
                          INDEX(Active[B_NOAEL], 3)/M60,""),"")</f>
        <v/>
      </c>
      <c r="O60" s="370" t="str">
        <f>IFERROR(IF(Active4=TRUE,HLOOKUP(Bird_Chronic[[#This Row],[Crop]],Input_Scenario,13,FALSE)*HLOOKUP(Bird_Chronic[[#This Row],[Crop]],Input_Scenario,8,FALSE)*Bird_Chronic[[#This Row],[SVm]],""),"")</f>
        <v/>
      </c>
      <c r="P60" s="370" t="str">
        <f>IFERROR(IF(ISNUMBER(INDEX(Active[B_NOAEL], 4)),
                          INDEX(Active[B_NOAEL], 4)/O60,""),"")</f>
        <v/>
      </c>
      <c r="Q60" s="370" t="str">
        <f>IFERROR(IF(Active5=TRUE,HLOOKUP(Bird_Chronic[[#This Row],[Crop]],Input_Scenario,14,FALSE)*HLOOKUP(Bird_Chronic[[#This Row],[Crop]],Input_Scenario,8,FALSE)*Bird_Chronic[[#This Row],[SVm]],""),"")</f>
        <v/>
      </c>
      <c r="R60" s="370" t="str">
        <f>IFERROR(IF(ISNUMBER(INDEX(Active[B_NOAEL], 5)),
                          INDEX(Active[B_NOAEL], 5)/Q60,""),"")</f>
        <v/>
      </c>
      <c r="S60" s="204"/>
      <c r="T60" s="56"/>
      <c r="U60" s="56"/>
      <c r="V60" s="56"/>
      <c r="W60" s="56"/>
      <c r="X60" s="56"/>
      <c r="Y60" s="56"/>
      <c r="Z60" s="56"/>
      <c r="AA60" s="56"/>
      <c r="AB60" s="56"/>
      <c r="AC60" s="56"/>
      <c r="AD60" s="56"/>
      <c r="AE60" s="56"/>
      <c r="AF60" s="56"/>
      <c r="AG60" s="56"/>
      <c r="AH60" s="56"/>
    </row>
    <row r="61" spans="1:34" s="106" customFormat="1" ht="16.5" customHeight="1">
      <c r="A61" s="56"/>
      <c r="B61" s="314" t="str">
        <f t="shared" ca="1" si="0"/>
        <v>No input</v>
      </c>
      <c r="C61" s="72" t="s">
        <v>139</v>
      </c>
      <c r="D61" s="73" t="s">
        <v>140</v>
      </c>
      <c r="E61" s="73" t="s">
        <v>221</v>
      </c>
      <c r="F61" s="113">
        <v>9.4</v>
      </c>
      <c r="G61" s="203" t="str">
        <f ca="1">IF(AND(Bird_Chronic[[#This Row],[Relevance]]="Input provided", Count&gt;=1),
       IF(B_ChronicScheme="C(mix)",
                 HLOOKUP(Bird_Chronic[[#This Row],[Crop]], Input_Scenario,10,FALSE)*Bird_Chronic[[#This Row],[SVm]]*HLOOKUP(Bird_Chronic[[#This Row],[Crop]],Input_Scenario,8,FALSE),""),"")</f>
        <v/>
      </c>
      <c r="H61" s="368" t="str">
        <f>IF(Count&gt;=1,
       IF(AND(B_ChronicScheme ="C(mix)", ISNUMBER(G61)), (B_NOAEL_form/G61),
       IF(AND(B_ChronicScheme = "HIsum", Count &gt; 1),
            IF(ISNUMBER(J61), IF(ISNUMBER(J61), 5/J61, 0) + IF(ISNUMBER(L61), 5/L61, 0) + IF(ISNUMBER(N61), 5/N61, 0) + IF(ISNUMBER(P61), 5/P61, 0) + IF(ISNUMBER(R61), 5/R61, 0),""), "")),"")</f>
        <v/>
      </c>
      <c r="I61" s="370" t="str">
        <f>IFERROR(IF(Active1=TRUE,HLOOKUP(Bird_Chronic[[#This Row],[Crop]],Input_Scenario,11,FALSE)*HLOOKUP(Bird_Chronic[[#This Row],[Crop]],Input_Scenario,8,FALSE)*Bird_Chronic[[#This Row],[SVm]],""),"")</f>
        <v/>
      </c>
      <c r="J61" s="370" t="str">
        <f>IFERROR(IF(ISNUMBER(INDEX(Active[B_NOAEL], 1)),
                          INDEX(Active[B_NOAEL], 1)/I61,""),"")</f>
        <v/>
      </c>
      <c r="K61" s="370" t="str">
        <f>IFERROR(IF(Active2=TRUE,HLOOKUP(Bird_Chronic[[#This Row],[Crop]],Input_Scenario,12,FALSE)*HLOOKUP(Bird_Chronic[[#This Row],[Crop]],Input_Scenario,8,FALSE)*Bird_Chronic[[#This Row],[SVm]],""),"")</f>
        <v/>
      </c>
      <c r="L61" s="370" t="str">
        <f>IFERROR(IF(ISNUMBER(INDEX(Active[B_NOAEL], 2)),
                          INDEX(Active[B_NOAEL], 2)/K61,""),"")</f>
        <v/>
      </c>
      <c r="M61" s="370" t="str">
        <f>IFERROR(IF(Active3=TRUE,HLOOKUP(Bird_Chronic[[#This Row],[Crop]],Input_Scenario,12,FALSE)*HLOOKUP(Bird_Chronic[[#This Row],[Crop]],Input_Scenario,8,FALSE)*Bird_Chronic[[#This Row],[SVm]],""),"")</f>
        <v/>
      </c>
      <c r="N61" s="370" t="str">
        <f>IFERROR(IF(ISNUMBER(INDEX(Active[B_NOAEL], 3)),
                          INDEX(Active[B_NOAEL], 3)/M61,""),"")</f>
        <v/>
      </c>
      <c r="O61" s="370" t="str">
        <f>IFERROR(IF(Active4=TRUE,HLOOKUP(Bird_Chronic[[#This Row],[Crop]],Input_Scenario,13,FALSE)*HLOOKUP(Bird_Chronic[[#This Row],[Crop]],Input_Scenario,8,FALSE)*Bird_Chronic[[#This Row],[SVm]],""),"")</f>
        <v/>
      </c>
      <c r="P61" s="370" t="str">
        <f>IFERROR(IF(ISNUMBER(INDEX(Active[B_NOAEL], 4)),
                          INDEX(Active[B_NOAEL], 4)/O61,""),"")</f>
        <v/>
      </c>
      <c r="Q61" s="370" t="str">
        <f>IFERROR(IF(Active5=TRUE,HLOOKUP(Bird_Chronic[[#This Row],[Crop]],Input_Scenario,14,FALSE)*HLOOKUP(Bird_Chronic[[#This Row],[Crop]],Input_Scenario,8,FALSE)*Bird_Chronic[[#This Row],[SVm]],""),"")</f>
        <v/>
      </c>
      <c r="R61" s="370" t="str">
        <f>IFERROR(IF(ISNUMBER(INDEX(Active[B_NOAEL], 5)),
                          INDEX(Active[B_NOAEL], 5)/Q61,""),"")</f>
        <v/>
      </c>
      <c r="S61" s="204"/>
      <c r="T61" s="56"/>
      <c r="U61" s="56"/>
      <c r="V61" s="56"/>
      <c r="W61" s="56"/>
      <c r="X61" s="56"/>
      <c r="Y61" s="56"/>
      <c r="Z61" s="56"/>
      <c r="AA61" s="56"/>
      <c r="AB61" s="56"/>
      <c r="AC61" s="56"/>
      <c r="AD61" s="56"/>
      <c r="AE61" s="56"/>
      <c r="AF61" s="56"/>
      <c r="AG61" s="56"/>
      <c r="AH61" s="56"/>
    </row>
    <row r="62" spans="1:34" s="106" customFormat="1" ht="16.5" customHeight="1">
      <c r="A62" s="56"/>
      <c r="B62" s="314" t="str">
        <f t="shared" ca="1" si="0"/>
        <v>No input</v>
      </c>
      <c r="C62" s="72" t="s">
        <v>139</v>
      </c>
      <c r="D62" s="73" t="s">
        <v>141</v>
      </c>
      <c r="E62" s="73" t="s">
        <v>214</v>
      </c>
      <c r="F62" s="113">
        <v>16.2</v>
      </c>
      <c r="G62" s="203" t="str">
        <f ca="1">IF(AND(Bird_Chronic[[#This Row],[Relevance]]="Input provided", Count&gt;=1),
       IF(B_ChronicScheme="C(mix)",
                 HLOOKUP(Bird_Chronic[[#This Row],[Crop]], Input_Scenario,10,FALSE)*Bird_Chronic[[#This Row],[SVm]]*HLOOKUP(Bird_Chronic[[#This Row],[Crop]],Input_Scenario,8,FALSE),""),"")</f>
        <v/>
      </c>
      <c r="H62" s="368" t="str">
        <f>IF(Count&gt;=1,
       IF(AND(B_ChronicScheme ="C(mix)", ISNUMBER(G62)), (B_NOAEL_form/G62),
       IF(AND(B_ChronicScheme = "HIsum", Count &gt; 1),
            IF(ISNUMBER(J62), IF(ISNUMBER(J62), 5/J62, 0) + IF(ISNUMBER(L62), 5/L62, 0) + IF(ISNUMBER(N62), 5/N62, 0) + IF(ISNUMBER(P62), 5/P62, 0) + IF(ISNUMBER(R62), 5/R62, 0),""), "")),"")</f>
        <v/>
      </c>
      <c r="I62" s="370" t="str">
        <f>IFERROR(IF(Active1=TRUE,HLOOKUP(Bird_Chronic[[#This Row],[Crop]],Input_Scenario,11,FALSE)*HLOOKUP(Bird_Chronic[[#This Row],[Crop]],Input_Scenario,8,FALSE)*Bird_Chronic[[#This Row],[SVm]],""),"")</f>
        <v/>
      </c>
      <c r="J62" s="370" t="str">
        <f>IFERROR(IF(ISNUMBER(INDEX(Active[B_NOAEL], 1)),
                          INDEX(Active[B_NOAEL], 1)/I62,""),"")</f>
        <v/>
      </c>
      <c r="K62" s="370" t="str">
        <f>IFERROR(IF(Active2=TRUE,HLOOKUP(Bird_Chronic[[#This Row],[Crop]],Input_Scenario,12,FALSE)*HLOOKUP(Bird_Chronic[[#This Row],[Crop]],Input_Scenario,8,FALSE)*Bird_Chronic[[#This Row],[SVm]],""),"")</f>
        <v/>
      </c>
      <c r="L62" s="370" t="str">
        <f>IFERROR(IF(ISNUMBER(INDEX(Active[B_NOAEL], 2)),
                          INDEX(Active[B_NOAEL], 2)/K62,""),"")</f>
        <v/>
      </c>
      <c r="M62" s="370" t="str">
        <f>IFERROR(IF(Active3=TRUE,HLOOKUP(Bird_Chronic[[#This Row],[Crop]],Input_Scenario,12,FALSE)*HLOOKUP(Bird_Chronic[[#This Row],[Crop]],Input_Scenario,8,FALSE)*Bird_Chronic[[#This Row],[SVm]],""),"")</f>
        <v/>
      </c>
      <c r="N62" s="370" t="str">
        <f>IFERROR(IF(ISNUMBER(INDEX(Active[B_NOAEL], 3)),
                          INDEX(Active[B_NOAEL], 3)/M62,""),"")</f>
        <v/>
      </c>
      <c r="O62" s="370" t="str">
        <f>IFERROR(IF(Active4=TRUE,HLOOKUP(Bird_Chronic[[#This Row],[Crop]],Input_Scenario,13,FALSE)*HLOOKUP(Bird_Chronic[[#This Row],[Crop]],Input_Scenario,8,FALSE)*Bird_Chronic[[#This Row],[SVm]],""),"")</f>
        <v/>
      </c>
      <c r="P62" s="370" t="str">
        <f>IFERROR(IF(ISNUMBER(INDEX(Active[B_NOAEL], 4)),
                          INDEX(Active[B_NOAEL], 4)/O62,""),"")</f>
        <v/>
      </c>
      <c r="Q62" s="370" t="str">
        <f>IFERROR(IF(Active5=TRUE,HLOOKUP(Bird_Chronic[[#This Row],[Crop]],Input_Scenario,14,FALSE)*HLOOKUP(Bird_Chronic[[#This Row],[Crop]],Input_Scenario,8,FALSE)*Bird_Chronic[[#This Row],[SVm]],""),"")</f>
        <v/>
      </c>
      <c r="R62" s="370" t="str">
        <f>IFERROR(IF(ISNUMBER(INDEX(Active[B_NOAEL], 5)),
                          INDEX(Active[B_NOAEL], 5)/Q62,""),"")</f>
        <v/>
      </c>
      <c r="S62" s="204"/>
      <c r="T62" s="56"/>
      <c r="U62" s="56"/>
      <c r="V62" s="56"/>
      <c r="W62" s="56"/>
      <c r="X62" s="56"/>
      <c r="Y62" s="56"/>
      <c r="Z62" s="56"/>
      <c r="AA62" s="56"/>
      <c r="AB62" s="56"/>
      <c r="AC62" s="56"/>
      <c r="AD62" s="56"/>
      <c r="AE62" s="56"/>
      <c r="AF62" s="56"/>
      <c r="AG62" s="56"/>
      <c r="AH62" s="56"/>
    </row>
    <row r="63" spans="1:34" s="106" customFormat="1" ht="16.5" customHeight="1">
      <c r="A63" s="56"/>
      <c r="B63" s="314" t="str">
        <f t="shared" ca="1" si="0"/>
        <v>No input</v>
      </c>
      <c r="C63" s="72" t="s">
        <v>139</v>
      </c>
      <c r="D63" s="73" t="s">
        <v>142</v>
      </c>
      <c r="E63" s="73" t="s">
        <v>209</v>
      </c>
      <c r="F63" s="113">
        <v>11.4</v>
      </c>
      <c r="G63" s="203" t="str">
        <f ca="1">IF(AND(Bird_Chronic[[#This Row],[Relevance]]="Input provided", Count&gt;=1),
       IF(B_ChronicScheme="C(mix)",
                 HLOOKUP(Bird_Chronic[[#This Row],[Crop]], Input_Scenario,10,FALSE)*Bird_Chronic[[#This Row],[SVm]]*HLOOKUP(Bird_Chronic[[#This Row],[Crop]],Input_Scenario,8,FALSE),""),"")</f>
        <v/>
      </c>
      <c r="H63" s="368" t="str">
        <f>IF(Count&gt;=1,
       IF(AND(B_ChronicScheme ="C(mix)", ISNUMBER(G63)), (B_NOAEL_form/G63),
       IF(AND(B_ChronicScheme = "HIsum", Count &gt; 1),
            IF(ISNUMBER(J63), IF(ISNUMBER(J63), 5/J63, 0) + IF(ISNUMBER(L63), 5/L63, 0) + IF(ISNUMBER(N63), 5/N63, 0) + IF(ISNUMBER(P63), 5/P63, 0) + IF(ISNUMBER(R63), 5/R63, 0),""), "")),"")</f>
        <v/>
      </c>
      <c r="I63" s="370" t="str">
        <f>IFERROR(IF(Active1=TRUE,HLOOKUP(Bird_Chronic[[#This Row],[Crop]],Input_Scenario,11,FALSE)*HLOOKUP(Bird_Chronic[[#This Row],[Crop]],Input_Scenario,8,FALSE)*Bird_Chronic[[#This Row],[SVm]],""),"")</f>
        <v/>
      </c>
      <c r="J63" s="370" t="str">
        <f>IFERROR(IF(ISNUMBER(INDEX(Active[B_NOAEL], 1)),
                          INDEX(Active[B_NOAEL], 1)/I63,""),"")</f>
        <v/>
      </c>
      <c r="K63" s="370" t="str">
        <f>IFERROR(IF(Active2=TRUE,HLOOKUP(Bird_Chronic[[#This Row],[Crop]],Input_Scenario,12,FALSE)*HLOOKUP(Bird_Chronic[[#This Row],[Crop]],Input_Scenario,8,FALSE)*Bird_Chronic[[#This Row],[SVm]],""),"")</f>
        <v/>
      </c>
      <c r="L63" s="370" t="str">
        <f>IFERROR(IF(ISNUMBER(INDEX(Active[B_NOAEL], 2)),
                          INDEX(Active[B_NOAEL], 2)/K63,""),"")</f>
        <v/>
      </c>
      <c r="M63" s="370" t="str">
        <f>IFERROR(IF(Active3=TRUE,HLOOKUP(Bird_Chronic[[#This Row],[Crop]],Input_Scenario,12,FALSE)*HLOOKUP(Bird_Chronic[[#This Row],[Crop]],Input_Scenario,8,FALSE)*Bird_Chronic[[#This Row],[SVm]],""),"")</f>
        <v/>
      </c>
      <c r="N63" s="370" t="str">
        <f>IFERROR(IF(ISNUMBER(INDEX(Active[B_NOAEL], 3)),
                          INDEX(Active[B_NOAEL], 3)/M63,""),"")</f>
        <v/>
      </c>
      <c r="O63" s="370" t="str">
        <f>IFERROR(IF(Active4=TRUE,HLOOKUP(Bird_Chronic[[#This Row],[Crop]],Input_Scenario,13,FALSE)*HLOOKUP(Bird_Chronic[[#This Row],[Crop]],Input_Scenario,8,FALSE)*Bird_Chronic[[#This Row],[SVm]],""),"")</f>
        <v/>
      </c>
      <c r="P63" s="370" t="str">
        <f>IFERROR(IF(ISNUMBER(INDEX(Active[B_NOAEL], 4)),
                          INDEX(Active[B_NOAEL], 4)/O63,""),"")</f>
        <v/>
      </c>
      <c r="Q63" s="370" t="str">
        <f>IFERROR(IF(Active5=TRUE,HLOOKUP(Bird_Chronic[[#This Row],[Crop]],Input_Scenario,14,FALSE)*HLOOKUP(Bird_Chronic[[#This Row],[Crop]],Input_Scenario,8,FALSE)*Bird_Chronic[[#This Row],[SVm]],""),"")</f>
        <v/>
      </c>
      <c r="R63" s="370" t="str">
        <f>IFERROR(IF(ISNUMBER(INDEX(Active[B_NOAEL], 5)),
                          INDEX(Active[B_NOAEL], 5)/Q63,""),"")</f>
        <v/>
      </c>
      <c r="S63" s="204"/>
      <c r="T63" s="56"/>
      <c r="U63" s="56"/>
      <c r="V63" s="56"/>
      <c r="W63" s="56"/>
      <c r="X63" s="56"/>
      <c r="Y63" s="56"/>
      <c r="Z63" s="56"/>
      <c r="AA63" s="56"/>
      <c r="AB63" s="56"/>
      <c r="AC63" s="56"/>
      <c r="AD63" s="56"/>
      <c r="AE63" s="56"/>
      <c r="AF63" s="56"/>
      <c r="AG63" s="56"/>
      <c r="AH63" s="56"/>
    </row>
    <row r="64" spans="1:34" s="106" customFormat="1" ht="16.5" customHeight="1">
      <c r="A64" s="56"/>
      <c r="B64" s="314" t="str">
        <f t="shared" ref="B64:B95" ca="1" si="1">IF(AND($B$3="Active",ISNUMBER(I64)),"Input provided","No input")</f>
        <v>No input</v>
      </c>
      <c r="C64" s="72" t="s">
        <v>139</v>
      </c>
      <c r="D64" s="73" t="s">
        <v>141</v>
      </c>
      <c r="E64" s="73" t="s">
        <v>211</v>
      </c>
      <c r="F64" s="113">
        <v>11.3</v>
      </c>
      <c r="G64" s="203" t="str">
        <f ca="1">IF(AND(Bird_Chronic[[#This Row],[Relevance]]="Input provided", Count&gt;=1),
       IF(B_ChronicScheme="C(mix)",
                 HLOOKUP(Bird_Chronic[[#This Row],[Crop]], Input_Scenario,10,FALSE)*Bird_Chronic[[#This Row],[SVm]]*HLOOKUP(Bird_Chronic[[#This Row],[Crop]],Input_Scenario,8,FALSE),""),"")</f>
        <v/>
      </c>
      <c r="H64" s="368" t="str">
        <f>IF(Count&gt;=1,
       IF(AND(B_ChronicScheme ="C(mix)", ISNUMBER(G64)), (B_NOAEL_form/G64),
       IF(AND(B_ChronicScheme = "HIsum", Count &gt; 1),
            IF(ISNUMBER(J64), IF(ISNUMBER(J64), 5/J64, 0) + IF(ISNUMBER(L64), 5/L64, 0) + IF(ISNUMBER(N64), 5/N64, 0) + IF(ISNUMBER(P64), 5/P64, 0) + IF(ISNUMBER(R64), 5/R64, 0),""), "")),"")</f>
        <v/>
      </c>
      <c r="I64" s="370" t="str">
        <f>IFERROR(IF(Active1=TRUE,HLOOKUP(Bird_Chronic[[#This Row],[Crop]],Input_Scenario,11,FALSE)*HLOOKUP(Bird_Chronic[[#This Row],[Crop]],Input_Scenario,8,FALSE)*Bird_Chronic[[#This Row],[SVm]],""),"")</f>
        <v/>
      </c>
      <c r="J64" s="370" t="str">
        <f>IFERROR(IF(ISNUMBER(INDEX(Active[B_NOAEL], 1)),
                          INDEX(Active[B_NOAEL], 1)/I64,""),"")</f>
        <v/>
      </c>
      <c r="K64" s="370" t="str">
        <f>IFERROR(IF(Active2=TRUE,HLOOKUP(Bird_Chronic[[#This Row],[Crop]],Input_Scenario,12,FALSE)*HLOOKUP(Bird_Chronic[[#This Row],[Crop]],Input_Scenario,8,FALSE)*Bird_Chronic[[#This Row],[SVm]],""),"")</f>
        <v/>
      </c>
      <c r="L64" s="370" t="str">
        <f>IFERROR(IF(ISNUMBER(INDEX(Active[B_NOAEL], 2)),
                          INDEX(Active[B_NOAEL], 2)/K64,""),"")</f>
        <v/>
      </c>
      <c r="M64" s="370" t="str">
        <f>IFERROR(IF(Active3=TRUE,HLOOKUP(Bird_Chronic[[#This Row],[Crop]],Input_Scenario,12,FALSE)*HLOOKUP(Bird_Chronic[[#This Row],[Crop]],Input_Scenario,8,FALSE)*Bird_Chronic[[#This Row],[SVm]],""),"")</f>
        <v/>
      </c>
      <c r="N64" s="370" t="str">
        <f>IFERROR(IF(ISNUMBER(INDEX(Active[B_NOAEL], 3)),
                          INDEX(Active[B_NOAEL], 3)/M64,""),"")</f>
        <v/>
      </c>
      <c r="O64" s="370" t="str">
        <f>IFERROR(IF(Active4=TRUE,HLOOKUP(Bird_Chronic[[#This Row],[Crop]],Input_Scenario,13,FALSE)*HLOOKUP(Bird_Chronic[[#This Row],[Crop]],Input_Scenario,8,FALSE)*Bird_Chronic[[#This Row],[SVm]],""),"")</f>
        <v/>
      </c>
      <c r="P64" s="370" t="str">
        <f>IFERROR(IF(ISNUMBER(INDEX(Active[B_NOAEL], 4)),
                          INDEX(Active[B_NOAEL], 4)/O64,""),"")</f>
        <v/>
      </c>
      <c r="Q64" s="370" t="str">
        <f>IFERROR(IF(Active5=TRUE,HLOOKUP(Bird_Chronic[[#This Row],[Crop]],Input_Scenario,14,FALSE)*HLOOKUP(Bird_Chronic[[#This Row],[Crop]],Input_Scenario,8,FALSE)*Bird_Chronic[[#This Row],[SVm]],""),"")</f>
        <v/>
      </c>
      <c r="R64" s="370" t="str">
        <f>IFERROR(IF(ISNUMBER(INDEX(Active[B_NOAEL], 5)),
                          INDEX(Active[B_NOAEL], 5)/Q64,""),"")</f>
        <v/>
      </c>
      <c r="S64" s="204"/>
      <c r="T64" s="56"/>
      <c r="U64" s="56"/>
      <c r="V64" s="56"/>
      <c r="W64" s="56"/>
      <c r="X64" s="56"/>
      <c r="Y64" s="56"/>
      <c r="Z64" s="56"/>
      <c r="AA64" s="56"/>
      <c r="AB64" s="56"/>
      <c r="AC64" s="56"/>
      <c r="AD64" s="56"/>
      <c r="AE64" s="56"/>
      <c r="AF64" s="56"/>
      <c r="AG64" s="56"/>
      <c r="AH64" s="56"/>
    </row>
    <row r="65" spans="1:34" s="106" customFormat="1" ht="16.5" customHeight="1">
      <c r="A65" s="56"/>
      <c r="B65" s="314" t="str">
        <f t="shared" ca="1" si="1"/>
        <v>No input</v>
      </c>
      <c r="C65" s="72" t="s">
        <v>143</v>
      </c>
      <c r="D65" s="73" t="s">
        <v>108</v>
      </c>
      <c r="E65" s="73" t="s">
        <v>222</v>
      </c>
      <c r="F65" s="113">
        <v>9.1</v>
      </c>
      <c r="G65" s="203" t="str">
        <f ca="1">IF(AND(Bird_Chronic[[#This Row],[Relevance]]="Input provided", Count&gt;=1),
       IF(B_ChronicScheme="C(mix)",
                 HLOOKUP(Bird_Chronic[[#This Row],[Crop]], Input_Scenario,10,FALSE)*Bird_Chronic[[#This Row],[SVm]]*HLOOKUP(Bird_Chronic[[#This Row],[Crop]],Input_Scenario,8,FALSE),""),"")</f>
        <v/>
      </c>
      <c r="H65" s="368" t="str">
        <f>IF(Count&gt;=1,
       IF(AND(B_ChronicScheme ="C(mix)", ISNUMBER(G65)), (B_NOAEL_form/G65),
       IF(AND(B_ChronicScheme = "HIsum", Count &gt; 1),
            IF(ISNUMBER(J65), IF(ISNUMBER(J65), 5/J65, 0) + IF(ISNUMBER(L65), 5/L65, 0) + IF(ISNUMBER(N65), 5/N65, 0) + IF(ISNUMBER(P65), 5/P65, 0) + IF(ISNUMBER(R65), 5/R65, 0),""), "")),"")</f>
        <v/>
      </c>
      <c r="I65" s="370" t="str">
        <f>IFERROR(IF(Active1=TRUE,HLOOKUP(Bird_Chronic[[#This Row],[Crop]],Input_Scenario,11,FALSE)*HLOOKUP(Bird_Chronic[[#This Row],[Crop]],Input_Scenario,8,FALSE)*Bird_Chronic[[#This Row],[SVm]],""),"")</f>
        <v/>
      </c>
      <c r="J65" s="370" t="str">
        <f>IFERROR(IF(ISNUMBER(INDEX(Active[B_NOAEL], 1)),
                          INDEX(Active[B_NOAEL], 1)/I65,""),"")</f>
        <v/>
      </c>
      <c r="K65" s="370" t="str">
        <f>IFERROR(IF(Active2=TRUE,HLOOKUP(Bird_Chronic[[#This Row],[Crop]],Input_Scenario,12,FALSE)*HLOOKUP(Bird_Chronic[[#This Row],[Crop]],Input_Scenario,8,FALSE)*Bird_Chronic[[#This Row],[SVm]],""),"")</f>
        <v/>
      </c>
      <c r="L65" s="370" t="str">
        <f>IFERROR(IF(ISNUMBER(INDEX(Active[B_NOAEL], 2)),
                          INDEX(Active[B_NOAEL], 2)/K65,""),"")</f>
        <v/>
      </c>
      <c r="M65" s="370" t="str">
        <f>IFERROR(IF(Active3=TRUE,HLOOKUP(Bird_Chronic[[#This Row],[Crop]],Input_Scenario,12,FALSE)*HLOOKUP(Bird_Chronic[[#This Row],[Crop]],Input_Scenario,8,FALSE)*Bird_Chronic[[#This Row],[SVm]],""),"")</f>
        <v/>
      </c>
      <c r="N65" s="370" t="str">
        <f>IFERROR(IF(ISNUMBER(INDEX(Active[B_NOAEL], 3)),
                          INDEX(Active[B_NOAEL], 3)/M65,""),"")</f>
        <v/>
      </c>
      <c r="O65" s="370" t="str">
        <f>IFERROR(IF(Active4=TRUE,HLOOKUP(Bird_Chronic[[#This Row],[Crop]],Input_Scenario,13,FALSE)*HLOOKUP(Bird_Chronic[[#This Row],[Crop]],Input_Scenario,8,FALSE)*Bird_Chronic[[#This Row],[SVm]],""),"")</f>
        <v/>
      </c>
      <c r="P65" s="370" t="str">
        <f>IFERROR(IF(ISNUMBER(INDEX(Active[B_NOAEL], 4)),
                          INDEX(Active[B_NOAEL], 4)/O65,""),"")</f>
        <v/>
      </c>
      <c r="Q65" s="370" t="str">
        <f>IFERROR(IF(Active5=TRUE,HLOOKUP(Bird_Chronic[[#This Row],[Crop]],Input_Scenario,14,FALSE)*HLOOKUP(Bird_Chronic[[#This Row],[Crop]],Input_Scenario,8,FALSE)*Bird_Chronic[[#This Row],[SVm]],""),"")</f>
        <v/>
      </c>
      <c r="R65" s="370" t="str">
        <f>IFERROR(IF(ISNUMBER(INDEX(Active[B_NOAEL], 5)),
                          INDEX(Active[B_NOAEL], 5)/Q65,""),"")</f>
        <v/>
      </c>
      <c r="S65" s="204"/>
      <c r="T65" s="56"/>
      <c r="U65" s="56"/>
      <c r="V65" s="56"/>
      <c r="W65" s="56"/>
      <c r="X65" s="56"/>
      <c r="Y65" s="56"/>
      <c r="Z65" s="56"/>
      <c r="AA65" s="56"/>
      <c r="AB65" s="56"/>
      <c r="AC65" s="56"/>
      <c r="AD65" s="56"/>
      <c r="AE65" s="56"/>
      <c r="AF65" s="56"/>
      <c r="AG65" s="56"/>
      <c r="AH65" s="56"/>
    </row>
    <row r="66" spans="1:34" s="106" customFormat="1" ht="16.5" customHeight="1">
      <c r="A66" s="56"/>
      <c r="B66" s="314" t="str">
        <f t="shared" ca="1" si="1"/>
        <v>No input</v>
      </c>
      <c r="C66" s="72" t="s">
        <v>143</v>
      </c>
      <c r="D66" s="73" t="s">
        <v>111</v>
      </c>
      <c r="E66" s="73" t="s">
        <v>222</v>
      </c>
      <c r="F66" s="113">
        <v>10.6</v>
      </c>
      <c r="G66" s="203" t="str">
        <f ca="1">IF(AND(Bird_Chronic[[#This Row],[Relevance]]="Input provided", Count&gt;=1),
       IF(B_ChronicScheme="C(mix)",
                 HLOOKUP(Bird_Chronic[[#This Row],[Crop]], Input_Scenario,10,FALSE)*Bird_Chronic[[#This Row],[SVm]]*HLOOKUP(Bird_Chronic[[#This Row],[Crop]],Input_Scenario,8,FALSE),""),"")</f>
        <v/>
      </c>
      <c r="H66" s="368" t="str">
        <f>IF(Count&gt;=1,
       IF(AND(B_ChronicScheme ="C(mix)", ISNUMBER(G66)), (B_NOAEL_form/G66),
       IF(AND(B_ChronicScheme = "HIsum", Count &gt; 1),
            IF(ISNUMBER(J66), IF(ISNUMBER(J66), 5/J66, 0) + IF(ISNUMBER(L66), 5/L66, 0) + IF(ISNUMBER(N66), 5/N66, 0) + IF(ISNUMBER(P66), 5/P66, 0) + IF(ISNUMBER(R66), 5/R66, 0),""), "")),"")</f>
        <v/>
      </c>
      <c r="I66" s="370" t="str">
        <f>IFERROR(IF(Active1=TRUE,HLOOKUP(Bird_Chronic[[#This Row],[Crop]],Input_Scenario,11,FALSE)*HLOOKUP(Bird_Chronic[[#This Row],[Crop]],Input_Scenario,8,FALSE)*Bird_Chronic[[#This Row],[SVm]],""),"")</f>
        <v/>
      </c>
      <c r="J66" s="370" t="str">
        <f>IFERROR(IF(ISNUMBER(INDEX(Active[B_NOAEL], 1)),
                          INDEX(Active[B_NOAEL], 1)/I66,""),"")</f>
        <v/>
      </c>
      <c r="K66" s="370" t="str">
        <f>IFERROR(IF(Active2=TRUE,HLOOKUP(Bird_Chronic[[#This Row],[Crop]],Input_Scenario,12,FALSE)*HLOOKUP(Bird_Chronic[[#This Row],[Crop]],Input_Scenario,8,FALSE)*Bird_Chronic[[#This Row],[SVm]],""),"")</f>
        <v/>
      </c>
      <c r="L66" s="370" t="str">
        <f>IFERROR(IF(ISNUMBER(INDEX(Active[B_NOAEL], 2)),
                          INDEX(Active[B_NOAEL], 2)/K66,""),"")</f>
        <v/>
      </c>
      <c r="M66" s="370" t="str">
        <f>IFERROR(IF(Active3=TRUE,HLOOKUP(Bird_Chronic[[#This Row],[Crop]],Input_Scenario,12,FALSE)*HLOOKUP(Bird_Chronic[[#This Row],[Crop]],Input_Scenario,8,FALSE)*Bird_Chronic[[#This Row],[SVm]],""),"")</f>
        <v/>
      </c>
      <c r="N66" s="370" t="str">
        <f>IFERROR(IF(ISNUMBER(INDEX(Active[B_NOAEL], 3)),
                          INDEX(Active[B_NOAEL], 3)/M66,""),"")</f>
        <v/>
      </c>
      <c r="O66" s="370" t="str">
        <f>IFERROR(IF(Active4=TRUE,HLOOKUP(Bird_Chronic[[#This Row],[Crop]],Input_Scenario,13,FALSE)*HLOOKUP(Bird_Chronic[[#This Row],[Crop]],Input_Scenario,8,FALSE)*Bird_Chronic[[#This Row],[SVm]],""),"")</f>
        <v/>
      </c>
      <c r="P66" s="370" t="str">
        <f>IFERROR(IF(ISNUMBER(INDEX(Active[B_NOAEL], 4)),
                          INDEX(Active[B_NOAEL], 4)/O66,""),"")</f>
        <v/>
      </c>
      <c r="Q66" s="370" t="str">
        <f>IFERROR(IF(Active5=TRUE,HLOOKUP(Bird_Chronic[[#This Row],[Crop]],Input_Scenario,14,FALSE)*HLOOKUP(Bird_Chronic[[#This Row],[Crop]],Input_Scenario,8,FALSE)*Bird_Chronic[[#This Row],[SVm]],""),"")</f>
        <v/>
      </c>
      <c r="R66" s="370" t="str">
        <f>IFERROR(IF(ISNUMBER(INDEX(Active[B_NOAEL], 5)),
                          INDEX(Active[B_NOAEL], 5)/Q66,""),"")</f>
        <v/>
      </c>
      <c r="S66" s="204"/>
      <c r="T66" s="56"/>
      <c r="U66" s="56"/>
      <c r="V66" s="56"/>
      <c r="W66" s="56"/>
      <c r="X66" s="56"/>
      <c r="Y66" s="56"/>
      <c r="Z66" s="56"/>
      <c r="AA66" s="56"/>
      <c r="AB66" s="56"/>
      <c r="AC66" s="56"/>
      <c r="AD66" s="56"/>
      <c r="AE66" s="56"/>
      <c r="AF66" s="56"/>
      <c r="AG66" s="56"/>
      <c r="AH66" s="56"/>
    </row>
    <row r="67" spans="1:34" s="106" customFormat="1" ht="16.5" customHeight="1">
      <c r="A67" s="56"/>
      <c r="B67" s="314" t="str">
        <f t="shared" ca="1" si="1"/>
        <v>No input</v>
      </c>
      <c r="C67" s="72" t="s">
        <v>143</v>
      </c>
      <c r="D67" s="73" t="s">
        <v>108</v>
      </c>
      <c r="E67" s="73" t="s">
        <v>209</v>
      </c>
      <c r="F67" s="113">
        <v>11.4</v>
      </c>
      <c r="G67" s="203" t="str">
        <f ca="1">IF(AND(Bird_Chronic[[#This Row],[Relevance]]="Input provided", Count&gt;=1),
       IF(B_ChronicScheme="C(mix)",
                 HLOOKUP(Bird_Chronic[[#This Row],[Crop]], Input_Scenario,10,FALSE)*Bird_Chronic[[#This Row],[SVm]]*HLOOKUP(Bird_Chronic[[#This Row],[Crop]],Input_Scenario,8,FALSE),""),"")</f>
        <v/>
      </c>
      <c r="H67" s="368" t="str">
        <f>IF(Count&gt;=1,
       IF(AND(B_ChronicScheme ="C(mix)", ISNUMBER(G67)), (B_NOAEL_form/G67),
       IF(AND(B_ChronicScheme = "HIsum", Count &gt; 1),
            IF(ISNUMBER(J67), IF(ISNUMBER(J67), 5/J67, 0) + IF(ISNUMBER(L67), 5/L67, 0) + IF(ISNUMBER(N67), 5/N67, 0) + IF(ISNUMBER(P67), 5/P67, 0) + IF(ISNUMBER(R67), 5/R67, 0),""), "")),"")</f>
        <v/>
      </c>
      <c r="I67" s="370" t="str">
        <f>IFERROR(IF(Active1=TRUE,HLOOKUP(Bird_Chronic[[#This Row],[Crop]],Input_Scenario,11,FALSE)*HLOOKUP(Bird_Chronic[[#This Row],[Crop]],Input_Scenario,8,FALSE)*Bird_Chronic[[#This Row],[SVm]],""),"")</f>
        <v/>
      </c>
      <c r="J67" s="370" t="str">
        <f>IFERROR(IF(ISNUMBER(INDEX(Active[B_NOAEL], 1)),
                          INDEX(Active[B_NOAEL], 1)/I67,""),"")</f>
        <v/>
      </c>
      <c r="K67" s="370" t="str">
        <f>IFERROR(IF(Active2=TRUE,HLOOKUP(Bird_Chronic[[#This Row],[Crop]],Input_Scenario,12,FALSE)*HLOOKUP(Bird_Chronic[[#This Row],[Crop]],Input_Scenario,8,FALSE)*Bird_Chronic[[#This Row],[SVm]],""),"")</f>
        <v/>
      </c>
      <c r="L67" s="370" t="str">
        <f>IFERROR(IF(ISNUMBER(INDEX(Active[B_NOAEL], 2)),
                          INDEX(Active[B_NOAEL], 2)/K67,""),"")</f>
        <v/>
      </c>
      <c r="M67" s="370" t="str">
        <f>IFERROR(IF(Active3=TRUE,HLOOKUP(Bird_Chronic[[#This Row],[Crop]],Input_Scenario,12,FALSE)*HLOOKUP(Bird_Chronic[[#This Row],[Crop]],Input_Scenario,8,FALSE)*Bird_Chronic[[#This Row],[SVm]],""),"")</f>
        <v/>
      </c>
      <c r="N67" s="370" t="str">
        <f>IFERROR(IF(ISNUMBER(INDEX(Active[B_NOAEL], 3)),
                          INDEX(Active[B_NOAEL], 3)/M67,""),"")</f>
        <v/>
      </c>
      <c r="O67" s="370" t="str">
        <f>IFERROR(IF(Active4=TRUE,HLOOKUP(Bird_Chronic[[#This Row],[Crop]],Input_Scenario,13,FALSE)*HLOOKUP(Bird_Chronic[[#This Row],[Crop]],Input_Scenario,8,FALSE)*Bird_Chronic[[#This Row],[SVm]],""),"")</f>
        <v/>
      </c>
      <c r="P67" s="370" t="str">
        <f>IFERROR(IF(ISNUMBER(INDEX(Active[B_NOAEL], 4)),
                          INDEX(Active[B_NOAEL], 4)/O67,""),"")</f>
        <v/>
      </c>
      <c r="Q67" s="370" t="str">
        <f>IFERROR(IF(Active5=TRUE,HLOOKUP(Bird_Chronic[[#This Row],[Crop]],Input_Scenario,14,FALSE)*HLOOKUP(Bird_Chronic[[#This Row],[Crop]],Input_Scenario,8,FALSE)*Bird_Chronic[[#This Row],[SVm]],""),"")</f>
        <v/>
      </c>
      <c r="R67" s="370" t="str">
        <f>IFERROR(IF(ISNUMBER(INDEX(Active[B_NOAEL], 5)),
                          INDEX(Active[B_NOAEL], 5)/Q67,""),"")</f>
        <v/>
      </c>
      <c r="S67" s="204"/>
      <c r="T67" s="56"/>
      <c r="U67" s="56"/>
      <c r="V67" s="56"/>
      <c r="W67" s="56"/>
      <c r="X67" s="56"/>
      <c r="Y67" s="56"/>
      <c r="Z67" s="56"/>
      <c r="AA67" s="56"/>
      <c r="AB67" s="56"/>
      <c r="AC67" s="56"/>
      <c r="AD67" s="56"/>
      <c r="AE67" s="56"/>
      <c r="AF67" s="56"/>
      <c r="AG67" s="56"/>
      <c r="AH67" s="56"/>
    </row>
    <row r="68" spans="1:34" s="106" customFormat="1" ht="16.5" customHeight="1">
      <c r="A68" s="56"/>
      <c r="B68" s="314" t="str">
        <f t="shared" ca="1" si="1"/>
        <v>No input</v>
      </c>
      <c r="C68" s="72" t="s">
        <v>143</v>
      </c>
      <c r="D68" s="73" t="s">
        <v>146</v>
      </c>
      <c r="E68" s="73" t="s">
        <v>209</v>
      </c>
      <c r="F68" s="113">
        <v>5.7</v>
      </c>
      <c r="G68" s="203" t="str">
        <f ca="1">IF(AND(Bird_Chronic[[#This Row],[Relevance]]="Input provided", Count&gt;=1),
       IF(B_ChronicScheme="C(mix)",
                 HLOOKUP(Bird_Chronic[[#This Row],[Crop]], Input_Scenario,10,FALSE)*Bird_Chronic[[#This Row],[SVm]]*HLOOKUP(Bird_Chronic[[#This Row],[Crop]],Input_Scenario,8,FALSE),""),"")</f>
        <v/>
      </c>
      <c r="H68" s="368" t="str">
        <f>IF(Count&gt;=1,
       IF(AND(B_ChronicScheme ="C(mix)", ISNUMBER(G68)), (B_NOAEL_form/G68),
       IF(AND(B_ChronicScheme = "HIsum", Count &gt; 1),
            IF(ISNUMBER(J68), IF(ISNUMBER(J68), 5/J68, 0) + IF(ISNUMBER(L68), 5/L68, 0) + IF(ISNUMBER(N68), 5/N68, 0) + IF(ISNUMBER(P68), 5/P68, 0) + IF(ISNUMBER(R68), 5/R68, 0),""), "")),"")</f>
        <v/>
      </c>
      <c r="I68" s="370" t="str">
        <f>IFERROR(IF(Active1=TRUE,HLOOKUP(Bird_Chronic[[#This Row],[Crop]],Input_Scenario,11,FALSE)*HLOOKUP(Bird_Chronic[[#This Row],[Crop]],Input_Scenario,8,FALSE)*Bird_Chronic[[#This Row],[SVm]],""),"")</f>
        <v/>
      </c>
      <c r="J68" s="370" t="str">
        <f>IFERROR(IF(ISNUMBER(INDEX(Active[B_NOAEL], 1)),
                          INDEX(Active[B_NOAEL], 1)/I68,""),"")</f>
        <v/>
      </c>
      <c r="K68" s="370" t="str">
        <f>IFERROR(IF(Active2=TRUE,HLOOKUP(Bird_Chronic[[#This Row],[Crop]],Input_Scenario,12,FALSE)*HLOOKUP(Bird_Chronic[[#This Row],[Crop]],Input_Scenario,8,FALSE)*Bird_Chronic[[#This Row],[SVm]],""),"")</f>
        <v/>
      </c>
      <c r="L68" s="370" t="str">
        <f>IFERROR(IF(ISNUMBER(INDEX(Active[B_NOAEL], 2)),
                          INDEX(Active[B_NOAEL], 2)/K68,""),"")</f>
        <v/>
      </c>
      <c r="M68" s="370" t="str">
        <f>IFERROR(IF(Active3=TRUE,HLOOKUP(Bird_Chronic[[#This Row],[Crop]],Input_Scenario,12,FALSE)*HLOOKUP(Bird_Chronic[[#This Row],[Crop]],Input_Scenario,8,FALSE)*Bird_Chronic[[#This Row],[SVm]],""),"")</f>
        <v/>
      </c>
      <c r="N68" s="370" t="str">
        <f>IFERROR(IF(ISNUMBER(INDEX(Active[B_NOAEL], 3)),
                          INDEX(Active[B_NOAEL], 3)/M68,""),"")</f>
        <v/>
      </c>
      <c r="O68" s="370" t="str">
        <f>IFERROR(IF(Active4=TRUE,HLOOKUP(Bird_Chronic[[#This Row],[Crop]],Input_Scenario,13,FALSE)*HLOOKUP(Bird_Chronic[[#This Row],[Crop]],Input_Scenario,8,FALSE)*Bird_Chronic[[#This Row],[SVm]],""),"")</f>
        <v/>
      </c>
      <c r="P68" s="370" t="str">
        <f>IFERROR(IF(ISNUMBER(INDEX(Active[B_NOAEL], 4)),
                          INDEX(Active[B_NOAEL], 4)/O68,""),"")</f>
        <v/>
      </c>
      <c r="Q68" s="370" t="str">
        <f>IFERROR(IF(Active5=TRUE,HLOOKUP(Bird_Chronic[[#This Row],[Crop]],Input_Scenario,14,FALSE)*HLOOKUP(Bird_Chronic[[#This Row],[Crop]],Input_Scenario,8,FALSE)*Bird_Chronic[[#This Row],[SVm]],""),"")</f>
        <v/>
      </c>
      <c r="R68" s="370" t="str">
        <f>IFERROR(IF(ISNUMBER(INDEX(Active[B_NOAEL], 5)),
                          INDEX(Active[B_NOAEL], 5)/Q68,""),"")</f>
        <v/>
      </c>
      <c r="S68" s="204"/>
      <c r="T68" s="56"/>
      <c r="U68" s="56"/>
      <c r="V68" s="56"/>
      <c r="W68" s="56"/>
      <c r="X68" s="56"/>
      <c r="Y68" s="56"/>
      <c r="Z68" s="56"/>
      <c r="AA68" s="56"/>
      <c r="AB68" s="56"/>
      <c r="AC68" s="56"/>
      <c r="AD68" s="56"/>
      <c r="AE68" s="56"/>
      <c r="AF68" s="56"/>
      <c r="AG68" s="56"/>
      <c r="AH68" s="56"/>
    </row>
    <row r="69" spans="1:34" s="106" customFormat="1" ht="16.5" customHeight="1">
      <c r="A69" s="56"/>
      <c r="B69" s="314" t="str">
        <f t="shared" ca="1" si="1"/>
        <v>No input</v>
      </c>
      <c r="C69" s="72" t="s">
        <v>143</v>
      </c>
      <c r="D69" s="73" t="s">
        <v>109</v>
      </c>
      <c r="E69" s="73" t="s">
        <v>209</v>
      </c>
      <c r="F69" s="113">
        <v>3.4</v>
      </c>
      <c r="G69" s="203" t="str">
        <f ca="1">IF(AND(Bird_Chronic[[#This Row],[Relevance]]="Input provided", Count&gt;=1),
       IF(B_ChronicScheme="C(mix)",
                 HLOOKUP(Bird_Chronic[[#This Row],[Crop]], Input_Scenario,10,FALSE)*Bird_Chronic[[#This Row],[SVm]]*HLOOKUP(Bird_Chronic[[#This Row],[Crop]],Input_Scenario,8,FALSE),""),"")</f>
        <v/>
      </c>
      <c r="H69" s="368" t="str">
        <f>IF(Count&gt;=1,
       IF(AND(B_ChronicScheme ="C(mix)", ISNUMBER(G69)), (B_NOAEL_form/G69),
       IF(AND(B_ChronicScheme = "HIsum", Count &gt; 1),
            IF(ISNUMBER(J69), IF(ISNUMBER(J69), 5/J69, 0) + IF(ISNUMBER(L69), 5/L69, 0) + IF(ISNUMBER(N69), 5/N69, 0) + IF(ISNUMBER(P69), 5/P69, 0) + IF(ISNUMBER(R69), 5/R69, 0),""), "")),"")</f>
        <v/>
      </c>
      <c r="I69" s="370" t="str">
        <f>IFERROR(IF(Active1=TRUE,HLOOKUP(Bird_Chronic[[#This Row],[Crop]],Input_Scenario,11,FALSE)*HLOOKUP(Bird_Chronic[[#This Row],[Crop]],Input_Scenario,8,FALSE)*Bird_Chronic[[#This Row],[SVm]],""),"")</f>
        <v/>
      </c>
      <c r="J69" s="370" t="str">
        <f>IFERROR(IF(ISNUMBER(INDEX(Active[B_NOAEL], 1)),
                          INDEX(Active[B_NOAEL], 1)/I69,""),"")</f>
        <v/>
      </c>
      <c r="K69" s="370" t="str">
        <f>IFERROR(IF(Active2=TRUE,HLOOKUP(Bird_Chronic[[#This Row],[Crop]],Input_Scenario,12,FALSE)*HLOOKUP(Bird_Chronic[[#This Row],[Crop]],Input_Scenario,8,FALSE)*Bird_Chronic[[#This Row],[SVm]],""),"")</f>
        <v/>
      </c>
      <c r="L69" s="370" t="str">
        <f>IFERROR(IF(ISNUMBER(INDEX(Active[B_NOAEL], 2)),
                          INDEX(Active[B_NOAEL], 2)/K69,""),"")</f>
        <v/>
      </c>
      <c r="M69" s="370" t="str">
        <f>IFERROR(IF(Active3=TRUE,HLOOKUP(Bird_Chronic[[#This Row],[Crop]],Input_Scenario,12,FALSE)*HLOOKUP(Bird_Chronic[[#This Row],[Crop]],Input_Scenario,8,FALSE)*Bird_Chronic[[#This Row],[SVm]],""),"")</f>
        <v/>
      </c>
      <c r="N69" s="370" t="str">
        <f>IFERROR(IF(ISNUMBER(INDEX(Active[B_NOAEL], 3)),
                          INDEX(Active[B_NOAEL], 3)/M69,""),"")</f>
        <v/>
      </c>
      <c r="O69" s="370" t="str">
        <f>IFERROR(IF(Active4=TRUE,HLOOKUP(Bird_Chronic[[#This Row],[Crop]],Input_Scenario,13,FALSE)*HLOOKUP(Bird_Chronic[[#This Row],[Crop]],Input_Scenario,8,FALSE)*Bird_Chronic[[#This Row],[SVm]],""),"")</f>
        <v/>
      </c>
      <c r="P69" s="370" t="str">
        <f>IFERROR(IF(ISNUMBER(INDEX(Active[B_NOAEL], 4)),
                          INDEX(Active[B_NOAEL], 4)/O69,""),"")</f>
        <v/>
      </c>
      <c r="Q69" s="370" t="str">
        <f>IFERROR(IF(Active5=TRUE,HLOOKUP(Bird_Chronic[[#This Row],[Crop]],Input_Scenario,14,FALSE)*HLOOKUP(Bird_Chronic[[#This Row],[Crop]],Input_Scenario,8,FALSE)*Bird_Chronic[[#This Row],[SVm]],""),"")</f>
        <v/>
      </c>
      <c r="R69" s="370" t="str">
        <f>IFERROR(IF(ISNUMBER(INDEX(Active[B_NOAEL], 5)),
                          INDEX(Active[B_NOAEL], 5)/Q69,""),"")</f>
        <v/>
      </c>
      <c r="S69" s="204"/>
      <c r="T69" s="56"/>
      <c r="U69" s="56"/>
      <c r="V69" s="56"/>
      <c r="W69" s="56"/>
      <c r="X69" s="56"/>
      <c r="Y69" s="56"/>
      <c r="Z69" s="56"/>
      <c r="AA69" s="56"/>
      <c r="AB69" s="56"/>
      <c r="AC69" s="56"/>
      <c r="AD69" s="56"/>
      <c r="AE69" s="56"/>
      <c r="AF69" s="56"/>
      <c r="AG69" s="56"/>
      <c r="AH69" s="56"/>
    </row>
    <row r="70" spans="1:34" s="106" customFormat="1" ht="16.5" customHeight="1">
      <c r="A70" s="56"/>
      <c r="B70" s="314" t="str">
        <f t="shared" ca="1" si="1"/>
        <v>No input</v>
      </c>
      <c r="C70" s="72" t="s">
        <v>147</v>
      </c>
      <c r="D70" s="73" t="s">
        <v>132</v>
      </c>
      <c r="E70" s="73" t="s">
        <v>209</v>
      </c>
      <c r="F70" s="113">
        <v>12.6</v>
      </c>
      <c r="G70" s="203" t="str">
        <f ca="1">IF(AND(Bird_Chronic[[#This Row],[Relevance]]="Input provided", Count&gt;=1),
       IF(B_ChronicScheme="C(mix)",
                 HLOOKUP(Bird_Chronic[[#This Row],[Crop]], Input_Scenario,10,FALSE)*Bird_Chronic[[#This Row],[SVm]]*HLOOKUP(Bird_Chronic[[#This Row],[Crop]],Input_Scenario,8,FALSE),""),"")</f>
        <v/>
      </c>
      <c r="H70" s="368" t="str">
        <f>IF(Count&gt;=1,
       IF(AND(B_ChronicScheme ="C(mix)", ISNUMBER(G70)), (B_NOAEL_form/G70),
       IF(AND(B_ChronicScheme = "HIsum", Count &gt; 1),
            IF(ISNUMBER(J70), IF(ISNUMBER(J70), 5/J70, 0) + IF(ISNUMBER(L70), 5/L70, 0) + IF(ISNUMBER(N70), 5/N70, 0) + IF(ISNUMBER(P70), 5/P70, 0) + IF(ISNUMBER(R70), 5/R70, 0),""), "")),"")</f>
        <v/>
      </c>
      <c r="I70" s="370" t="str">
        <f>IFERROR(IF(Active1=TRUE,HLOOKUP(Bird_Chronic[[#This Row],[Crop]],Input_Scenario,11,FALSE)*HLOOKUP(Bird_Chronic[[#This Row],[Crop]],Input_Scenario,8,FALSE)*Bird_Chronic[[#This Row],[SVm]],""),"")</f>
        <v/>
      </c>
      <c r="J70" s="370" t="str">
        <f>IFERROR(IF(ISNUMBER(INDEX(Active[B_NOAEL], 1)),
                          INDEX(Active[B_NOAEL], 1)/I70,""),"")</f>
        <v/>
      </c>
      <c r="K70" s="370" t="str">
        <f>IFERROR(IF(Active2=TRUE,HLOOKUP(Bird_Chronic[[#This Row],[Crop]],Input_Scenario,12,FALSE)*HLOOKUP(Bird_Chronic[[#This Row],[Crop]],Input_Scenario,8,FALSE)*Bird_Chronic[[#This Row],[SVm]],""),"")</f>
        <v/>
      </c>
      <c r="L70" s="370" t="str">
        <f>IFERROR(IF(ISNUMBER(INDEX(Active[B_NOAEL], 2)),
                          INDEX(Active[B_NOAEL], 2)/K70,""),"")</f>
        <v/>
      </c>
      <c r="M70" s="370" t="str">
        <f>IFERROR(IF(Active3=TRUE,HLOOKUP(Bird_Chronic[[#This Row],[Crop]],Input_Scenario,12,FALSE)*HLOOKUP(Bird_Chronic[[#This Row],[Crop]],Input_Scenario,8,FALSE)*Bird_Chronic[[#This Row],[SVm]],""),"")</f>
        <v/>
      </c>
      <c r="N70" s="370" t="str">
        <f>IFERROR(IF(ISNUMBER(INDEX(Active[B_NOAEL], 3)),
                          INDEX(Active[B_NOAEL], 3)/M70,""),"")</f>
        <v/>
      </c>
      <c r="O70" s="370" t="str">
        <f>IFERROR(IF(Active4=TRUE,HLOOKUP(Bird_Chronic[[#This Row],[Crop]],Input_Scenario,13,FALSE)*HLOOKUP(Bird_Chronic[[#This Row],[Crop]],Input_Scenario,8,FALSE)*Bird_Chronic[[#This Row],[SVm]],""),"")</f>
        <v/>
      </c>
      <c r="P70" s="370" t="str">
        <f>IFERROR(IF(ISNUMBER(INDEX(Active[B_NOAEL], 4)),
                          INDEX(Active[B_NOAEL], 4)/O70,""),"")</f>
        <v/>
      </c>
      <c r="Q70" s="370" t="str">
        <f>IFERROR(IF(Active5=TRUE,HLOOKUP(Bird_Chronic[[#This Row],[Crop]],Input_Scenario,14,FALSE)*HLOOKUP(Bird_Chronic[[#This Row],[Crop]],Input_Scenario,8,FALSE)*Bird_Chronic[[#This Row],[SVm]],""),"")</f>
        <v/>
      </c>
      <c r="R70" s="370" t="str">
        <f>IFERROR(IF(ISNUMBER(INDEX(Active[B_NOAEL], 5)),
                          INDEX(Active[B_NOAEL], 5)/Q70,""),"")</f>
        <v/>
      </c>
      <c r="S70" s="204"/>
      <c r="T70" s="56"/>
      <c r="U70" s="56"/>
      <c r="V70" s="56"/>
      <c r="W70" s="56"/>
      <c r="X70" s="56"/>
      <c r="Y70" s="56"/>
      <c r="Z70" s="56"/>
      <c r="AA70" s="56"/>
      <c r="AB70" s="56"/>
      <c r="AC70" s="56"/>
      <c r="AD70" s="56"/>
      <c r="AE70" s="56"/>
      <c r="AF70" s="56"/>
      <c r="AG70" s="56"/>
      <c r="AH70" s="56"/>
    </row>
    <row r="71" spans="1:34" s="106" customFormat="1" ht="16.5" customHeight="1">
      <c r="A71" s="56"/>
      <c r="B71" s="314" t="str">
        <f t="shared" ca="1" si="1"/>
        <v>No input</v>
      </c>
      <c r="C71" s="72" t="s">
        <v>147</v>
      </c>
      <c r="D71" s="73" t="s">
        <v>134</v>
      </c>
      <c r="E71" s="73" t="s">
        <v>209</v>
      </c>
      <c r="F71" s="113">
        <v>3.8</v>
      </c>
      <c r="G71" s="203" t="str">
        <f ca="1">IF(AND(Bird_Chronic[[#This Row],[Relevance]]="Input provided", Count&gt;=1),
       IF(B_ChronicScheme="C(mix)",
                 HLOOKUP(Bird_Chronic[[#This Row],[Crop]], Input_Scenario,10,FALSE)*Bird_Chronic[[#This Row],[SVm]]*HLOOKUP(Bird_Chronic[[#This Row],[Crop]],Input_Scenario,8,FALSE),""),"")</f>
        <v/>
      </c>
      <c r="H71" s="368" t="str">
        <f>IF(Count&gt;=1,
       IF(AND(B_ChronicScheme ="C(mix)", ISNUMBER(G71)), (B_NOAEL_form/G71),
       IF(AND(B_ChronicScheme = "HIsum", Count &gt; 1),
            IF(ISNUMBER(J71), IF(ISNUMBER(J71), 5/J71, 0) + IF(ISNUMBER(L71), 5/L71, 0) + IF(ISNUMBER(N71), 5/N71, 0) + IF(ISNUMBER(P71), 5/P71, 0) + IF(ISNUMBER(R71), 5/R71, 0),""), "")),"")</f>
        <v/>
      </c>
      <c r="I71" s="370" t="str">
        <f>IFERROR(IF(Active1=TRUE,HLOOKUP(Bird_Chronic[[#This Row],[Crop]],Input_Scenario,11,FALSE)*HLOOKUP(Bird_Chronic[[#This Row],[Crop]],Input_Scenario,8,FALSE)*Bird_Chronic[[#This Row],[SVm]],""),"")</f>
        <v/>
      </c>
      <c r="J71" s="370" t="str">
        <f>IFERROR(IF(ISNUMBER(INDEX(Active[B_NOAEL], 1)),
                          INDEX(Active[B_NOAEL], 1)/I71,""),"")</f>
        <v/>
      </c>
      <c r="K71" s="370" t="str">
        <f>IFERROR(IF(Active2=TRUE,HLOOKUP(Bird_Chronic[[#This Row],[Crop]],Input_Scenario,12,FALSE)*HLOOKUP(Bird_Chronic[[#This Row],[Crop]],Input_Scenario,8,FALSE)*Bird_Chronic[[#This Row],[SVm]],""),"")</f>
        <v/>
      </c>
      <c r="L71" s="370" t="str">
        <f>IFERROR(IF(ISNUMBER(INDEX(Active[B_NOAEL], 2)),
                          INDEX(Active[B_NOAEL], 2)/K71,""),"")</f>
        <v/>
      </c>
      <c r="M71" s="370" t="str">
        <f>IFERROR(IF(Active3=TRUE,HLOOKUP(Bird_Chronic[[#This Row],[Crop]],Input_Scenario,12,FALSE)*HLOOKUP(Bird_Chronic[[#This Row],[Crop]],Input_Scenario,8,FALSE)*Bird_Chronic[[#This Row],[SVm]],""),"")</f>
        <v/>
      </c>
      <c r="N71" s="370" t="str">
        <f>IFERROR(IF(ISNUMBER(INDEX(Active[B_NOAEL], 3)),
                          INDEX(Active[B_NOAEL], 3)/M71,""),"")</f>
        <v/>
      </c>
      <c r="O71" s="370" t="str">
        <f>IFERROR(IF(Active4=TRUE,HLOOKUP(Bird_Chronic[[#This Row],[Crop]],Input_Scenario,13,FALSE)*HLOOKUP(Bird_Chronic[[#This Row],[Crop]],Input_Scenario,8,FALSE)*Bird_Chronic[[#This Row],[SVm]],""),"")</f>
        <v/>
      </c>
      <c r="P71" s="370" t="str">
        <f>IFERROR(IF(ISNUMBER(INDEX(Active[B_NOAEL], 4)),
                          INDEX(Active[B_NOAEL], 4)/O71,""),"")</f>
        <v/>
      </c>
      <c r="Q71" s="370" t="str">
        <f>IFERROR(IF(Active5=TRUE,HLOOKUP(Bird_Chronic[[#This Row],[Crop]],Input_Scenario,14,FALSE)*HLOOKUP(Bird_Chronic[[#This Row],[Crop]],Input_Scenario,8,FALSE)*Bird_Chronic[[#This Row],[SVm]],""),"")</f>
        <v/>
      </c>
      <c r="R71" s="370" t="str">
        <f>IFERROR(IF(ISNUMBER(INDEX(Active[B_NOAEL], 5)),
                          INDEX(Active[B_NOAEL], 5)/Q71,""),"")</f>
        <v/>
      </c>
      <c r="S71" s="204"/>
      <c r="T71" s="56"/>
      <c r="U71" s="56"/>
      <c r="V71" s="56"/>
      <c r="W71" s="56"/>
      <c r="X71" s="56"/>
      <c r="Y71" s="56"/>
      <c r="Z71" s="56"/>
      <c r="AA71" s="56"/>
      <c r="AB71" s="56"/>
      <c r="AC71" s="56"/>
      <c r="AD71" s="56"/>
      <c r="AE71" s="56"/>
      <c r="AF71" s="56"/>
      <c r="AG71" s="56"/>
      <c r="AH71" s="56"/>
    </row>
    <row r="72" spans="1:34" s="106" customFormat="1" ht="16.5" customHeight="1">
      <c r="A72" s="56"/>
      <c r="B72" s="314" t="str">
        <f t="shared" ca="1" si="1"/>
        <v>No input</v>
      </c>
      <c r="C72" s="72" t="s">
        <v>147</v>
      </c>
      <c r="D72" s="73" t="s">
        <v>132</v>
      </c>
      <c r="E72" s="73" t="s">
        <v>210</v>
      </c>
      <c r="F72" s="113">
        <v>10.9</v>
      </c>
      <c r="G72" s="203" t="str">
        <f ca="1">IF(AND(Bird_Chronic[[#This Row],[Relevance]]="Input provided", Count&gt;=1),
       IF(B_ChronicScheme="C(mix)",
                 HLOOKUP(Bird_Chronic[[#This Row],[Crop]], Input_Scenario,10,FALSE)*Bird_Chronic[[#This Row],[SVm]]*HLOOKUP(Bird_Chronic[[#This Row],[Crop]],Input_Scenario,8,FALSE),""),"")</f>
        <v/>
      </c>
      <c r="H72" s="368" t="str">
        <f>IF(Count&gt;=1,
       IF(AND(B_ChronicScheme ="C(mix)", ISNUMBER(G72)), (B_NOAEL_form/G72),
       IF(AND(B_ChronicScheme = "HIsum", Count &gt; 1),
            IF(ISNUMBER(J72), IF(ISNUMBER(J72), 5/J72, 0) + IF(ISNUMBER(L72), 5/L72, 0) + IF(ISNUMBER(N72), 5/N72, 0) + IF(ISNUMBER(P72), 5/P72, 0) + IF(ISNUMBER(R72), 5/R72, 0),""), "")),"")</f>
        <v/>
      </c>
      <c r="I72" s="370" t="str">
        <f>IFERROR(IF(Active1=TRUE,HLOOKUP(Bird_Chronic[[#This Row],[Crop]],Input_Scenario,11,FALSE)*HLOOKUP(Bird_Chronic[[#This Row],[Crop]],Input_Scenario,8,FALSE)*Bird_Chronic[[#This Row],[SVm]],""),"")</f>
        <v/>
      </c>
      <c r="J72" s="370" t="str">
        <f>IFERROR(IF(ISNUMBER(INDEX(Active[B_NOAEL], 1)),
                          INDEX(Active[B_NOAEL], 1)/I72,""),"")</f>
        <v/>
      </c>
      <c r="K72" s="370" t="str">
        <f>IFERROR(IF(Active2=TRUE,HLOOKUP(Bird_Chronic[[#This Row],[Crop]],Input_Scenario,12,FALSE)*HLOOKUP(Bird_Chronic[[#This Row],[Crop]],Input_Scenario,8,FALSE)*Bird_Chronic[[#This Row],[SVm]],""),"")</f>
        <v/>
      </c>
      <c r="L72" s="370" t="str">
        <f>IFERROR(IF(ISNUMBER(INDEX(Active[B_NOAEL], 2)),
                          INDEX(Active[B_NOAEL], 2)/K72,""),"")</f>
        <v/>
      </c>
      <c r="M72" s="370" t="str">
        <f>IFERROR(IF(Active3=TRUE,HLOOKUP(Bird_Chronic[[#This Row],[Crop]],Input_Scenario,12,FALSE)*HLOOKUP(Bird_Chronic[[#This Row],[Crop]],Input_Scenario,8,FALSE)*Bird_Chronic[[#This Row],[SVm]],""),"")</f>
        <v/>
      </c>
      <c r="N72" s="370" t="str">
        <f>IFERROR(IF(ISNUMBER(INDEX(Active[B_NOAEL], 3)),
                          INDEX(Active[B_NOAEL], 3)/M72,""),"")</f>
        <v/>
      </c>
      <c r="O72" s="370" t="str">
        <f>IFERROR(IF(Active4=TRUE,HLOOKUP(Bird_Chronic[[#This Row],[Crop]],Input_Scenario,13,FALSE)*HLOOKUP(Bird_Chronic[[#This Row],[Crop]],Input_Scenario,8,FALSE)*Bird_Chronic[[#This Row],[SVm]],""),"")</f>
        <v/>
      </c>
      <c r="P72" s="370" t="str">
        <f>IFERROR(IF(ISNUMBER(INDEX(Active[B_NOAEL], 4)),
                          INDEX(Active[B_NOAEL], 4)/O72,""),"")</f>
        <v/>
      </c>
      <c r="Q72" s="370" t="str">
        <f>IFERROR(IF(Active5=TRUE,HLOOKUP(Bird_Chronic[[#This Row],[Crop]],Input_Scenario,14,FALSE)*HLOOKUP(Bird_Chronic[[#This Row],[Crop]],Input_Scenario,8,FALSE)*Bird_Chronic[[#This Row],[SVm]],""),"")</f>
        <v/>
      </c>
      <c r="R72" s="370" t="str">
        <f>IFERROR(IF(ISNUMBER(INDEX(Active[B_NOAEL], 5)),
                          INDEX(Active[B_NOAEL], 5)/Q72,""),"")</f>
        <v/>
      </c>
      <c r="S72" s="204"/>
      <c r="T72" s="56"/>
      <c r="U72" s="56"/>
      <c r="V72" s="56"/>
      <c r="W72" s="56"/>
      <c r="X72" s="56"/>
      <c r="Y72" s="56"/>
      <c r="Z72" s="56"/>
      <c r="AA72" s="56"/>
      <c r="AB72" s="56"/>
      <c r="AC72" s="56"/>
      <c r="AD72" s="56"/>
      <c r="AE72" s="56"/>
      <c r="AF72" s="56"/>
      <c r="AG72" s="56"/>
      <c r="AH72" s="56"/>
    </row>
    <row r="73" spans="1:34" s="106" customFormat="1" ht="16.5" customHeight="1">
      <c r="A73" s="56"/>
      <c r="B73" s="314" t="str">
        <f t="shared" ca="1" si="1"/>
        <v>No input</v>
      </c>
      <c r="C73" s="72" t="s">
        <v>147</v>
      </c>
      <c r="D73" s="73" t="s">
        <v>111</v>
      </c>
      <c r="E73" s="73" t="s">
        <v>211</v>
      </c>
      <c r="F73" s="113">
        <v>9.6999999999999993</v>
      </c>
      <c r="G73" s="203" t="str">
        <f ca="1">IF(AND(Bird_Chronic[[#This Row],[Relevance]]="Input provided", Count&gt;=1),
       IF(B_ChronicScheme="C(mix)",
                 HLOOKUP(Bird_Chronic[[#This Row],[Crop]], Input_Scenario,10,FALSE)*Bird_Chronic[[#This Row],[SVm]]*HLOOKUP(Bird_Chronic[[#This Row],[Crop]],Input_Scenario,8,FALSE),""),"")</f>
        <v/>
      </c>
      <c r="H73" s="368" t="str">
        <f>IF(Count&gt;=1,
       IF(AND(B_ChronicScheme ="C(mix)", ISNUMBER(G73)), (B_NOAEL_form/G73),
       IF(AND(B_ChronicScheme = "HIsum", Count &gt; 1),
            IF(ISNUMBER(J73), IF(ISNUMBER(J73), 5/J73, 0) + IF(ISNUMBER(L73), 5/L73, 0) + IF(ISNUMBER(N73), 5/N73, 0) + IF(ISNUMBER(P73), 5/P73, 0) + IF(ISNUMBER(R73), 5/R73, 0),""), "")),"")</f>
        <v/>
      </c>
      <c r="I73" s="370" t="str">
        <f>IFERROR(IF(Active1=TRUE,HLOOKUP(Bird_Chronic[[#This Row],[Crop]],Input_Scenario,11,FALSE)*HLOOKUP(Bird_Chronic[[#This Row],[Crop]],Input_Scenario,8,FALSE)*Bird_Chronic[[#This Row],[SVm]],""),"")</f>
        <v/>
      </c>
      <c r="J73" s="370" t="str">
        <f>IFERROR(IF(ISNUMBER(INDEX(Active[B_NOAEL], 1)),
                          INDEX(Active[B_NOAEL], 1)/I73,""),"")</f>
        <v/>
      </c>
      <c r="K73" s="370" t="str">
        <f>IFERROR(IF(Active2=TRUE,HLOOKUP(Bird_Chronic[[#This Row],[Crop]],Input_Scenario,12,FALSE)*HLOOKUP(Bird_Chronic[[#This Row],[Crop]],Input_Scenario,8,FALSE)*Bird_Chronic[[#This Row],[SVm]],""),"")</f>
        <v/>
      </c>
      <c r="L73" s="370" t="str">
        <f>IFERROR(IF(ISNUMBER(INDEX(Active[B_NOAEL], 2)),
                          INDEX(Active[B_NOAEL], 2)/K73,""),"")</f>
        <v/>
      </c>
      <c r="M73" s="370" t="str">
        <f>IFERROR(IF(Active3=TRUE,HLOOKUP(Bird_Chronic[[#This Row],[Crop]],Input_Scenario,12,FALSE)*HLOOKUP(Bird_Chronic[[#This Row],[Crop]],Input_Scenario,8,FALSE)*Bird_Chronic[[#This Row],[SVm]],""),"")</f>
        <v/>
      </c>
      <c r="N73" s="370" t="str">
        <f>IFERROR(IF(ISNUMBER(INDEX(Active[B_NOAEL], 3)),
                          INDEX(Active[B_NOAEL], 3)/M73,""),"")</f>
        <v/>
      </c>
      <c r="O73" s="370" t="str">
        <f>IFERROR(IF(Active4=TRUE,HLOOKUP(Bird_Chronic[[#This Row],[Crop]],Input_Scenario,13,FALSE)*HLOOKUP(Bird_Chronic[[#This Row],[Crop]],Input_Scenario,8,FALSE)*Bird_Chronic[[#This Row],[SVm]],""),"")</f>
        <v/>
      </c>
      <c r="P73" s="370" t="str">
        <f>IFERROR(IF(ISNUMBER(INDEX(Active[B_NOAEL], 4)),
                          INDEX(Active[B_NOAEL], 4)/O73,""),"")</f>
        <v/>
      </c>
      <c r="Q73" s="370" t="str">
        <f>IFERROR(IF(Active5=TRUE,HLOOKUP(Bird_Chronic[[#This Row],[Crop]],Input_Scenario,14,FALSE)*HLOOKUP(Bird_Chronic[[#This Row],[Crop]],Input_Scenario,8,FALSE)*Bird_Chronic[[#This Row],[SVm]],""),"")</f>
        <v/>
      </c>
      <c r="R73" s="370" t="str">
        <f>IFERROR(IF(ISNUMBER(INDEX(Active[B_NOAEL], 5)),
                          INDEX(Active[B_NOAEL], 5)/Q73,""),"")</f>
        <v/>
      </c>
      <c r="S73" s="204"/>
      <c r="T73" s="56"/>
      <c r="U73" s="56"/>
      <c r="V73" s="56"/>
      <c r="W73" s="56"/>
      <c r="X73" s="56"/>
      <c r="Y73" s="56"/>
      <c r="Z73" s="56"/>
      <c r="AA73" s="56"/>
      <c r="AB73" s="56"/>
      <c r="AC73" s="56"/>
      <c r="AD73" s="56"/>
      <c r="AE73" s="56"/>
      <c r="AF73" s="56"/>
      <c r="AG73" s="56"/>
      <c r="AH73" s="56"/>
    </row>
    <row r="74" spans="1:34" s="106" customFormat="1" ht="16.5" customHeight="1">
      <c r="A74" s="56"/>
      <c r="B74" s="314" t="str">
        <f t="shared" ca="1" si="1"/>
        <v>No input</v>
      </c>
      <c r="C74" s="72" t="s">
        <v>147</v>
      </c>
      <c r="D74" s="73" t="s">
        <v>149</v>
      </c>
      <c r="E74" s="73" t="s">
        <v>223</v>
      </c>
      <c r="F74" s="113">
        <v>37</v>
      </c>
      <c r="G74" s="203" t="str">
        <f ca="1">IF(AND(Bird_Chronic[[#This Row],[Relevance]]="Input provided", Count&gt;=1),
       IF(B_ChronicScheme="C(mix)",
                 HLOOKUP(Bird_Chronic[[#This Row],[Crop]], Input_Scenario,10,FALSE)*Bird_Chronic[[#This Row],[SVm]]*HLOOKUP(Bird_Chronic[[#This Row],[Crop]],Input_Scenario,8,FALSE),""),"")</f>
        <v/>
      </c>
      <c r="H74" s="368" t="str">
        <f>IF(Count&gt;=1,
       IF(AND(B_ChronicScheme ="C(mix)", ISNUMBER(G74)), (B_NOAEL_form/G74),
       IF(AND(B_ChronicScheme = "HIsum", Count &gt; 1),
            IF(ISNUMBER(J74), IF(ISNUMBER(J74), 5/J74, 0) + IF(ISNUMBER(L74), 5/L74, 0) + IF(ISNUMBER(N74), 5/N74, 0) + IF(ISNUMBER(P74), 5/P74, 0) + IF(ISNUMBER(R74), 5/R74, 0),""), "")),"")</f>
        <v/>
      </c>
      <c r="I74" s="370" t="str">
        <f>IFERROR(IF(Active1=TRUE,HLOOKUP(Bird_Chronic[[#This Row],[Crop]],Input_Scenario,11,FALSE)*HLOOKUP(Bird_Chronic[[#This Row],[Crop]],Input_Scenario,8,FALSE)*Bird_Chronic[[#This Row],[SVm]],""),"")</f>
        <v/>
      </c>
      <c r="J74" s="370" t="str">
        <f>IFERROR(IF(ISNUMBER(INDEX(Active[B_NOAEL], 1)),
                          INDEX(Active[B_NOAEL], 1)/I74,""),"")</f>
        <v/>
      </c>
      <c r="K74" s="370" t="str">
        <f>IFERROR(IF(Active2=TRUE,HLOOKUP(Bird_Chronic[[#This Row],[Crop]],Input_Scenario,12,FALSE)*HLOOKUP(Bird_Chronic[[#This Row],[Crop]],Input_Scenario,8,FALSE)*Bird_Chronic[[#This Row],[SVm]],""),"")</f>
        <v/>
      </c>
      <c r="L74" s="370" t="str">
        <f>IFERROR(IF(ISNUMBER(INDEX(Active[B_NOAEL], 2)),
                          INDEX(Active[B_NOAEL], 2)/K74,""),"")</f>
        <v/>
      </c>
      <c r="M74" s="370" t="str">
        <f>IFERROR(IF(Active3=TRUE,HLOOKUP(Bird_Chronic[[#This Row],[Crop]],Input_Scenario,12,FALSE)*HLOOKUP(Bird_Chronic[[#This Row],[Crop]],Input_Scenario,8,FALSE)*Bird_Chronic[[#This Row],[SVm]],""),"")</f>
        <v/>
      </c>
      <c r="N74" s="370" t="str">
        <f>IFERROR(IF(ISNUMBER(INDEX(Active[B_NOAEL], 3)),
                          INDEX(Active[B_NOAEL], 3)/M74,""),"")</f>
        <v/>
      </c>
      <c r="O74" s="370" t="str">
        <f>IFERROR(IF(Active4=TRUE,HLOOKUP(Bird_Chronic[[#This Row],[Crop]],Input_Scenario,13,FALSE)*HLOOKUP(Bird_Chronic[[#This Row],[Crop]],Input_Scenario,8,FALSE)*Bird_Chronic[[#This Row],[SVm]],""),"")</f>
        <v/>
      </c>
      <c r="P74" s="370" t="str">
        <f>IFERROR(IF(ISNUMBER(INDEX(Active[B_NOAEL], 4)),
                          INDEX(Active[B_NOAEL], 4)/O74,""),"")</f>
        <v/>
      </c>
      <c r="Q74" s="370" t="str">
        <f>IFERROR(IF(Active5=TRUE,HLOOKUP(Bird_Chronic[[#This Row],[Crop]],Input_Scenario,14,FALSE)*HLOOKUP(Bird_Chronic[[#This Row],[Crop]],Input_Scenario,8,FALSE)*Bird_Chronic[[#This Row],[SVm]],""),"")</f>
        <v/>
      </c>
      <c r="R74" s="370" t="str">
        <f>IFERROR(IF(ISNUMBER(INDEX(Active[B_NOAEL], 5)),
                          INDEX(Active[B_NOAEL], 5)/Q74,""),"")</f>
        <v/>
      </c>
      <c r="S74" s="204"/>
      <c r="T74" s="56"/>
      <c r="U74" s="56"/>
      <c r="V74" s="56"/>
      <c r="W74" s="56"/>
      <c r="X74" s="56"/>
      <c r="Y74" s="56"/>
      <c r="Z74" s="56"/>
      <c r="AA74" s="56"/>
      <c r="AB74" s="56"/>
      <c r="AC74" s="56"/>
      <c r="AD74" s="56"/>
      <c r="AE74" s="56"/>
      <c r="AF74" s="56"/>
      <c r="AG74" s="56"/>
      <c r="AH74" s="56"/>
    </row>
    <row r="75" spans="1:34" s="106" customFormat="1" ht="16.5" customHeight="1">
      <c r="A75" s="56"/>
      <c r="B75" s="314" t="str">
        <f t="shared" ca="1" si="1"/>
        <v>No input</v>
      </c>
      <c r="C75" s="72" t="s">
        <v>147</v>
      </c>
      <c r="D75" s="73" t="s">
        <v>108</v>
      </c>
      <c r="E75" s="73" t="s">
        <v>211</v>
      </c>
      <c r="F75" s="113">
        <v>11.3</v>
      </c>
      <c r="G75" s="203" t="str">
        <f ca="1">IF(AND(Bird_Chronic[[#This Row],[Relevance]]="Input provided", Count&gt;=1),
       IF(B_ChronicScheme="C(mix)",
                 HLOOKUP(Bird_Chronic[[#This Row],[Crop]], Input_Scenario,10,FALSE)*Bird_Chronic[[#This Row],[SVm]]*HLOOKUP(Bird_Chronic[[#This Row],[Crop]],Input_Scenario,8,FALSE),""),"")</f>
        <v/>
      </c>
      <c r="H75" s="368" t="str">
        <f>IF(Count&gt;=1,
       IF(AND(B_ChronicScheme ="C(mix)", ISNUMBER(G75)), (B_NOAEL_form/G75),
       IF(AND(B_ChronicScheme = "HIsum", Count &gt; 1),
            IF(ISNUMBER(J75), IF(ISNUMBER(J75), 5/J75, 0) + IF(ISNUMBER(L75), 5/L75, 0) + IF(ISNUMBER(N75), 5/N75, 0) + IF(ISNUMBER(P75), 5/P75, 0) + IF(ISNUMBER(R75), 5/R75, 0),""), "")),"")</f>
        <v/>
      </c>
      <c r="I75" s="370" t="str">
        <f>IFERROR(IF(Active1=TRUE,HLOOKUP(Bird_Chronic[[#This Row],[Crop]],Input_Scenario,11,FALSE)*HLOOKUP(Bird_Chronic[[#This Row],[Crop]],Input_Scenario,8,FALSE)*Bird_Chronic[[#This Row],[SVm]],""),"")</f>
        <v/>
      </c>
      <c r="J75" s="370" t="str">
        <f>IFERROR(IF(ISNUMBER(INDEX(Active[B_NOAEL], 1)),
                          INDEX(Active[B_NOAEL], 1)/I75,""),"")</f>
        <v/>
      </c>
      <c r="K75" s="370" t="str">
        <f>IFERROR(IF(Active2=TRUE,HLOOKUP(Bird_Chronic[[#This Row],[Crop]],Input_Scenario,12,FALSE)*HLOOKUP(Bird_Chronic[[#This Row],[Crop]],Input_Scenario,8,FALSE)*Bird_Chronic[[#This Row],[SVm]],""),"")</f>
        <v/>
      </c>
      <c r="L75" s="370" t="str">
        <f>IFERROR(IF(ISNUMBER(INDEX(Active[B_NOAEL], 2)),
                          INDEX(Active[B_NOAEL], 2)/K75,""),"")</f>
        <v/>
      </c>
      <c r="M75" s="370" t="str">
        <f>IFERROR(IF(Active3=TRUE,HLOOKUP(Bird_Chronic[[#This Row],[Crop]],Input_Scenario,12,FALSE)*HLOOKUP(Bird_Chronic[[#This Row],[Crop]],Input_Scenario,8,FALSE)*Bird_Chronic[[#This Row],[SVm]],""),"")</f>
        <v/>
      </c>
      <c r="N75" s="370" t="str">
        <f>IFERROR(IF(ISNUMBER(INDEX(Active[B_NOAEL], 3)),
                          INDEX(Active[B_NOAEL], 3)/M75,""),"")</f>
        <v/>
      </c>
      <c r="O75" s="370" t="str">
        <f>IFERROR(IF(Active4=TRUE,HLOOKUP(Bird_Chronic[[#This Row],[Crop]],Input_Scenario,13,FALSE)*HLOOKUP(Bird_Chronic[[#This Row],[Crop]],Input_Scenario,8,FALSE)*Bird_Chronic[[#This Row],[SVm]],""),"")</f>
        <v/>
      </c>
      <c r="P75" s="370" t="str">
        <f>IFERROR(IF(ISNUMBER(INDEX(Active[B_NOAEL], 4)),
                          INDEX(Active[B_NOAEL], 4)/O75,""),"")</f>
        <v/>
      </c>
      <c r="Q75" s="370" t="str">
        <f>IFERROR(IF(Active5=TRUE,HLOOKUP(Bird_Chronic[[#This Row],[Crop]],Input_Scenario,14,FALSE)*HLOOKUP(Bird_Chronic[[#This Row],[Crop]],Input_Scenario,8,FALSE)*Bird_Chronic[[#This Row],[SVm]],""),"")</f>
        <v/>
      </c>
      <c r="R75" s="370" t="str">
        <f>IFERROR(IF(ISNUMBER(INDEX(Active[B_NOAEL], 5)),
                          INDEX(Active[B_NOAEL], 5)/Q75,""),"")</f>
        <v/>
      </c>
      <c r="S75" s="204"/>
      <c r="T75" s="56"/>
      <c r="U75" s="56"/>
      <c r="V75" s="56"/>
      <c r="W75" s="56"/>
      <c r="X75" s="56"/>
      <c r="Y75" s="56"/>
      <c r="Z75" s="56"/>
      <c r="AA75" s="56"/>
      <c r="AB75" s="56"/>
      <c r="AC75" s="56"/>
      <c r="AD75" s="56"/>
      <c r="AE75" s="56"/>
      <c r="AF75" s="56"/>
      <c r="AG75" s="56"/>
      <c r="AH75" s="56"/>
    </row>
    <row r="76" spans="1:34" s="106" customFormat="1" ht="16.5" customHeight="1">
      <c r="A76" s="56"/>
      <c r="B76" s="314" t="str">
        <f t="shared" ca="1" si="1"/>
        <v>No input</v>
      </c>
      <c r="C76" s="72" t="s">
        <v>147</v>
      </c>
      <c r="D76" s="73" t="s">
        <v>134</v>
      </c>
      <c r="E76" s="73" t="s">
        <v>210</v>
      </c>
      <c r="F76" s="113">
        <v>3.3</v>
      </c>
      <c r="G76" s="203" t="str">
        <f ca="1">IF(AND(Bird_Chronic[[#This Row],[Relevance]]="Input provided", Count&gt;=1),
       IF(B_ChronicScheme="C(mix)",
                 HLOOKUP(Bird_Chronic[[#This Row],[Crop]], Input_Scenario,10,FALSE)*Bird_Chronic[[#This Row],[SVm]]*HLOOKUP(Bird_Chronic[[#This Row],[Crop]],Input_Scenario,8,FALSE),""),"")</f>
        <v/>
      </c>
      <c r="H76" s="368" t="str">
        <f>IF(Count&gt;=1,
       IF(AND(B_ChronicScheme ="C(mix)", ISNUMBER(G76)), (B_NOAEL_form/G76),
       IF(AND(B_ChronicScheme = "HIsum", Count &gt; 1),
            IF(ISNUMBER(J76), IF(ISNUMBER(J76), 5/J76, 0) + IF(ISNUMBER(L76), 5/L76, 0) + IF(ISNUMBER(N76), 5/N76, 0) + IF(ISNUMBER(P76), 5/P76, 0) + IF(ISNUMBER(R76), 5/R76, 0),""), "")),"")</f>
        <v/>
      </c>
      <c r="I76" s="370" t="str">
        <f>IFERROR(IF(Active1=TRUE,HLOOKUP(Bird_Chronic[[#This Row],[Crop]],Input_Scenario,11,FALSE)*HLOOKUP(Bird_Chronic[[#This Row],[Crop]],Input_Scenario,8,FALSE)*Bird_Chronic[[#This Row],[SVm]],""),"")</f>
        <v/>
      </c>
      <c r="J76" s="370" t="str">
        <f>IFERROR(IF(ISNUMBER(INDEX(Active[B_NOAEL], 1)),
                          INDEX(Active[B_NOAEL], 1)/I76,""),"")</f>
        <v/>
      </c>
      <c r="K76" s="370" t="str">
        <f>IFERROR(IF(Active2=TRUE,HLOOKUP(Bird_Chronic[[#This Row],[Crop]],Input_Scenario,12,FALSE)*HLOOKUP(Bird_Chronic[[#This Row],[Crop]],Input_Scenario,8,FALSE)*Bird_Chronic[[#This Row],[SVm]],""),"")</f>
        <v/>
      </c>
      <c r="L76" s="370" t="str">
        <f>IFERROR(IF(ISNUMBER(INDEX(Active[B_NOAEL], 2)),
                          INDEX(Active[B_NOAEL], 2)/K76,""),"")</f>
        <v/>
      </c>
      <c r="M76" s="370" t="str">
        <f>IFERROR(IF(Active3=TRUE,HLOOKUP(Bird_Chronic[[#This Row],[Crop]],Input_Scenario,12,FALSE)*HLOOKUP(Bird_Chronic[[#This Row],[Crop]],Input_Scenario,8,FALSE)*Bird_Chronic[[#This Row],[SVm]],""),"")</f>
        <v/>
      </c>
      <c r="N76" s="370" t="str">
        <f>IFERROR(IF(ISNUMBER(INDEX(Active[B_NOAEL], 3)),
                          INDEX(Active[B_NOAEL], 3)/M76,""),"")</f>
        <v/>
      </c>
      <c r="O76" s="370" t="str">
        <f>IFERROR(IF(Active4=TRUE,HLOOKUP(Bird_Chronic[[#This Row],[Crop]],Input_Scenario,13,FALSE)*HLOOKUP(Bird_Chronic[[#This Row],[Crop]],Input_Scenario,8,FALSE)*Bird_Chronic[[#This Row],[SVm]],""),"")</f>
        <v/>
      </c>
      <c r="P76" s="370" t="str">
        <f>IFERROR(IF(ISNUMBER(INDEX(Active[B_NOAEL], 4)),
                          INDEX(Active[B_NOAEL], 4)/O76,""),"")</f>
        <v/>
      </c>
      <c r="Q76" s="370" t="str">
        <f>IFERROR(IF(Active5=TRUE,HLOOKUP(Bird_Chronic[[#This Row],[Crop]],Input_Scenario,14,FALSE)*HLOOKUP(Bird_Chronic[[#This Row],[Crop]],Input_Scenario,8,FALSE)*Bird_Chronic[[#This Row],[SVm]],""),"")</f>
        <v/>
      </c>
      <c r="R76" s="370" t="str">
        <f>IFERROR(IF(ISNUMBER(INDEX(Active[B_NOAEL], 5)),
                          INDEX(Active[B_NOAEL], 5)/Q76,""),"")</f>
        <v/>
      </c>
      <c r="S76" s="204"/>
      <c r="T76" s="56"/>
      <c r="U76" s="56"/>
      <c r="V76" s="56"/>
      <c r="W76" s="56"/>
      <c r="X76" s="56"/>
      <c r="Y76" s="56"/>
      <c r="Z76" s="56"/>
      <c r="AA76" s="56"/>
      <c r="AB76" s="56"/>
      <c r="AC76" s="56"/>
      <c r="AD76" s="56"/>
      <c r="AE76" s="56"/>
      <c r="AF76" s="56"/>
      <c r="AG76" s="56"/>
      <c r="AH76" s="56"/>
    </row>
    <row r="77" spans="1:34" s="106" customFormat="1" ht="16.5" customHeight="1">
      <c r="A77" s="56"/>
      <c r="B77" s="314" t="str">
        <f t="shared" ca="1" si="1"/>
        <v>No input</v>
      </c>
      <c r="C77" s="72" t="s">
        <v>152</v>
      </c>
      <c r="D77" s="73" t="s">
        <v>132</v>
      </c>
      <c r="E77" s="73" t="s">
        <v>209</v>
      </c>
      <c r="F77" s="113">
        <v>11.4</v>
      </c>
      <c r="G77" s="203" t="str">
        <f ca="1">IF(AND(Bird_Chronic[[#This Row],[Relevance]]="Input provided", Count&gt;=1),
       IF(B_ChronicScheme="C(mix)",
                 HLOOKUP(Bird_Chronic[[#This Row],[Crop]], Input_Scenario,10,FALSE)*Bird_Chronic[[#This Row],[SVm]]*HLOOKUP(Bird_Chronic[[#This Row],[Crop]],Input_Scenario,8,FALSE),""),"")</f>
        <v/>
      </c>
      <c r="H77" s="368" t="str">
        <f>IF(Count&gt;=1,
       IF(AND(B_ChronicScheme ="C(mix)", ISNUMBER(G77)), (B_NOAEL_form/G77),
       IF(AND(B_ChronicScheme = "HIsum", Count &gt; 1),
            IF(ISNUMBER(J77), IF(ISNUMBER(J77), 5/J77, 0) + IF(ISNUMBER(L77), 5/L77, 0) + IF(ISNUMBER(N77), 5/N77, 0) + IF(ISNUMBER(P77), 5/P77, 0) + IF(ISNUMBER(R77), 5/R77, 0),""), "")),"")</f>
        <v/>
      </c>
      <c r="I77" s="370" t="str">
        <f>IFERROR(IF(Active1=TRUE,HLOOKUP(Bird_Chronic[[#This Row],[Crop]],Input_Scenario,11,FALSE)*HLOOKUP(Bird_Chronic[[#This Row],[Crop]],Input_Scenario,8,FALSE)*Bird_Chronic[[#This Row],[SVm]],""),"")</f>
        <v/>
      </c>
      <c r="J77" s="370" t="str">
        <f>IFERROR(IF(ISNUMBER(INDEX(Active[B_NOAEL], 1)),
                          INDEX(Active[B_NOAEL], 1)/I77,""),"")</f>
        <v/>
      </c>
      <c r="K77" s="370" t="str">
        <f>IFERROR(IF(Active2=TRUE,HLOOKUP(Bird_Chronic[[#This Row],[Crop]],Input_Scenario,12,FALSE)*HLOOKUP(Bird_Chronic[[#This Row],[Crop]],Input_Scenario,8,FALSE)*Bird_Chronic[[#This Row],[SVm]],""),"")</f>
        <v/>
      </c>
      <c r="L77" s="370" t="str">
        <f>IFERROR(IF(ISNUMBER(INDEX(Active[B_NOAEL], 2)),
                          INDEX(Active[B_NOAEL], 2)/K77,""),"")</f>
        <v/>
      </c>
      <c r="M77" s="370" t="str">
        <f>IFERROR(IF(Active3=TRUE,HLOOKUP(Bird_Chronic[[#This Row],[Crop]],Input_Scenario,12,FALSE)*HLOOKUP(Bird_Chronic[[#This Row],[Crop]],Input_Scenario,8,FALSE)*Bird_Chronic[[#This Row],[SVm]],""),"")</f>
        <v/>
      </c>
      <c r="N77" s="370" t="str">
        <f>IFERROR(IF(ISNUMBER(INDEX(Active[B_NOAEL], 3)),
                          INDEX(Active[B_NOAEL], 3)/M77,""),"")</f>
        <v/>
      </c>
      <c r="O77" s="370" t="str">
        <f>IFERROR(IF(Active4=TRUE,HLOOKUP(Bird_Chronic[[#This Row],[Crop]],Input_Scenario,13,FALSE)*HLOOKUP(Bird_Chronic[[#This Row],[Crop]],Input_Scenario,8,FALSE)*Bird_Chronic[[#This Row],[SVm]],""),"")</f>
        <v/>
      </c>
      <c r="P77" s="370" t="str">
        <f>IFERROR(IF(ISNUMBER(INDEX(Active[B_NOAEL], 4)),
                          INDEX(Active[B_NOAEL], 4)/O77,""),"")</f>
        <v/>
      </c>
      <c r="Q77" s="370" t="str">
        <f>IFERROR(IF(Active5=TRUE,HLOOKUP(Bird_Chronic[[#This Row],[Crop]],Input_Scenario,14,FALSE)*HLOOKUP(Bird_Chronic[[#This Row],[Crop]],Input_Scenario,8,FALSE)*Bird_Chronic[[#This Row],[SVm]],""),"")</f>
        <v/>
      </c>
      <c r="R77" s="370" t="str">
        <f>IFERROR(IF(ISNUMBER(INDEX(Active[B_NOAEL], 5)),
                          INDEX(Active[B_NOAEL], 5)/Q77,""),"")</f>
        <v/>
      </c>
      <c r="S77" s="204"/>
      <c r="T77" s="56"/>
      <c r="U77" s="56"/>
      <c r="V77" s="56"/>
      <c r="W77" s="56"/>
      <c r="X77" s="56"/>
      <c r="Y77" s="56"/>
      <c r="Z77" s="56"/>
      <c r="AA77" s="56"/>
      <c r="AB77" s="56"/>
      <c r="AC77" s="56"/>
      <c r="AD77" s="56"/>
      <c r="AE77" s="56"/>
      <c r="AF77" s="56"/>
      <c r="AG77" s="56"/>
      <c r="AH77" s="56"/>
    </row>
    <row r="78" spans="1:34" s="106" customFormat="1" ht="16.5" customHeight="1">
      <c r="A78" s="56"/>
      <c r="B78" s="314" t="str">
        <f t="shared" ca="1" si="1"/>
        <v>No input</v>
      </c>
      <c r="C78" s="72" t="s">
        <v>152</v>
      </c>
      <c r="D78" s="73" t="s">
        <v>108</v>
      </c>
      <c r="E78" s="73" t="s">
        <v>211</v>
      </c>
      <c r="F78" s="113">
        <v>11.3</v>
      </c>
      <c r="G78" s="203" t="str">
        <f ca="1">IF(AND(Bird_Chronic[[#This Row],[Relevance]]="Input provided", Count&gt;=1),
       IF(B_ChronicScheme="C(mix)",
                 HLOOKUP(Bird_Chronic[[#This Row],[Crop]], Input_Scenario,10,FALSE)*Bird_Chronic[[#This Row],[SVm]]*HLOOKUP(Bird_Chronic[[#This Row],[Crop]],Input_Scenario,8,FALSE),""),"")</f>
        <v/>
      </c>
      <c r="H78" s="368" t="str">
        <f>IF(Count&gt;=1,
       IF(AND(B_ChronicScheme ="C(mix)", ISNUMBER(G78)), (B_NOAEL_form/G78),
       IF(AND(B_ChronicScheme = "HIsum", Count &gt; 1),
            IF(ISNUMBER(J78), IF(ISNUMBER(J78), 5/J78, 0) + IF(ISNUMBER(L78), 5/L78, 0) + IF(ISNUMBER(N78), 5/N78, 0) + IF(ISNUMBER(P78), 5/P78, 0) + IF(ISNUMBER(R78), 5/R78, 0),""), "")),"")</f>
        <v/>
      </c>
      <c r="I78" s="370" t="str">
        <f>IFERROR(IF(Active1=TRUE,HLOOKUP(Bird_Chronic[[#This Row],[Crop]],Input_Scenario,11,FALSE)*HLOOKUP(Bird_Chronic[[#This Row],[Crop]],Input_Scenario,8,FALSE)*Bird_Chronic[[#This Row],[SVm]],""),"")</f>
        <v/>
      </c>
      <c r="J78" s="370" t="str">
        <f>IFERROR(IF(ISNUMBER(INDEX(Active[B_NOAEL], 1)),
                          INDEX(Active[B_NOAEL], 1)/I78,""),"")</f>
        <v/>
      </c>
      <c r="K78" s="370" t="str">
        <f>IFERROR(IF(Active2=TRUE,HLOOKUP(Bird_Chronic[[#This Row],[Crop]],Input_Scenario,12,FALSE)*HLOOKUP(Bird_Chronic[[#This Row],[Crop]],Input_Scenario,8,FALSE)*Bird_Chronic[[#This Row],[SVm]],""),"")</f>
        <v/>
      </c>
      <c r="L78" s="370" t="str">
        <f>IFERROR(IF(ISNUMBER(INDEX(Active[B_NOAEL], 2)),
                          INDEX(Active[B_NOAEL], 2)/K78,""),"")</f>
        <v/>
      </c>
      <c r="M78" s="370" t="str">
        <f>IFERROR(IF(Active3=TRUE,HLOOKUP(Bird_Chronic[[#This Row],[Crop]],Input_Scenario,12,FALSE)*HLOOKUP(Bird_Chronic[[#This Row],[Crop]],Input_Scenario,8,FALSE)*Bird_Chronic[[#This Row],[SVm]],""),"")</f>
        <v/>
      </c>
      <c r="N78" s="370" t="str">
        <f>IFERROR(IF(ISNUMBER(INDEX(Active[B_NOAEL], 3)),
                          INDEX(Active[B_NOAEL], 3)/M78,""),"")</f>
        <v/>
      </c>
      <c r="O78" s="370" t="str">
        <f>IFERROR(IF(Active4=TRUE,HLOOKUP(Bird_Chronic[[#This Row],[Crop]],Input_Scenario,13,FALSE)*HLOOKUP(Bird_Chronic[[#This Row],[Crop]],Input_Scenario,8,FALSE)*Bird_Chronic[[#This Row],[SVm]],""),"")</f>
        <v/>
      </c>
      <c r="P78" s="370" t="str">
        <f>IFERROR(IF(ISNUMBER(INDEX(Active[B_NOAEL], 4)),
                          INDEX(Active[B_NOAEL], 4)/O78,""),"")</f>
        <v/>
      </c>
      <c r="Q78" s="370" t="str">
        <f>IFERROR(IF(Active5=TRUE,HLOOKUP(Bird_Chronic[[#This Row],[Crop]],Input_Scenario,14,FALSE)*HLOOKUP(Bird_Chronic[[#This Row],[Crop]],Input_Scenario,8,FALSE)*Bird_Chronic[[#This Row],[SVm]],""),"")</f>
        <v/>
      </c>
      <c r="R78" s="370" t="str">
        <f>IFERROR(IF(ISNUMBER(INDEX(Active[B_NOAEL], 5)),
                          INDEX(Active[B_NOAEL], 5)/Q78,""),"")</f>
        <v/>
      </c>
      <c r="S78" s="204"/>
      <c r="T78" s="56"/>
      <c r="U78" s="56"/>
      <c r="V78" s="56"/>
      <c r="W78" s="56"/>
      <c r="X78" s="56"/>
      <c r="Y78" s="56"/>
      <c r="Z78" s="56"/>
      <c r="AA78" s="56"/>
      <c r="AB78" s="56"/>
      <c r="AC78" s="56"/>
      <c r="AD78" s="56"/>
      <c r="AE78" s="56"/>
      <c r="AF78" s="56"/>
      <c r="AG78" s="56"/>
      <c r="AH78" s="56"/>
    </row>
    <row r="79" spans="1:34" s="106" customFormat="1" ht="16.5" customHeight="1">
      <c r="A79" s="56"/>
      <c r="B79" s="314" t="str">
        <f t="shared" ca="1" si="1"/>
        <v>No input</v>
      </c>
      <c r="C79" s="72" t="s">
        <v>152</v>
      </c>
      <c r="D79" s="73" t="s">
        <v>132</v>
      </c>
      <c r="E79" s="73" t="s">
        <v>210</v>
      </c>
      <c r="F79" s="113">
        <v>10.9</v>
      </c>
      <c r="G79" s="203" t="str">
        <f ca="1">IF(AND(Bird_Chronic[[#This Row],[Relevance]]="Input provided", Count&gt;=1),
       IF(B_ChronicScheme="C(mix)",
                 HLOOKUP(Bird_Chronic[[#This Row],[Crop]], Input_Scenario,10,FALSE)*Bird_Chronic[[#This Row],[SVm]]*HLOOKUP(Bird_Chronic[[#This Row],[Crop]],Input_Scenario,8,FALSE),""),"")</f>
        <v/>
      </c>
      <c r="H79" s="368" t="str">
        <f>IF(Count&gt;=1,
       IF(AND(B_ChronicScheme ="C(mix)", ISNUMBER(G79)), (B_NOAEL_form/G79),
       IF(AND(B_ChronicScheme = "HIsum", Count &gt; 1),
            IF(ISNUMBER(J79), IF(ISNUMBER(J79), 5/J79, 0) + IF(ISNUMBER(L79), 5/L79, 0) + IF(ISNUMBER(N79), 5/N79, 0) + IF(ISNUMBER(P79), 5/P79, 0) + IF(ISNUMBER(R79), 5/R79, 0),""), "")),"")</f>
        <v/>
      </c>
      <c r="I79" s="370" t="str">
        <f>IFERROR(IF(Active1=TRUE,HLOOKUP(Bird_Chronic[[#This Row],[Crop]],Input_Scenario,11,FALSE)*HLOOKUP(Bird_Chronic[[#This Row],[Crop]],Input_Scenario,8,FALSE)*Bird_Chronic[[#This Row],[SVm]],""),"")</f>
        <v/>
      </c>
      <c r="J79" s="370" t="str">
        <f>IFERROR(IF(ISNUMBER(INDEX(Active[B_NOAEL], 1)),
                          INDEX(Active[B_NOAEL], 1)/I79,""),"")</f>
        <v/>
      </c>
      <c r="K79" s="370" t="str">
        <f>IFERROR(IF(Active2=TRUE,HLOOKUP(Bird_Chronic[[#This Row],[Crop]],Input_Scenario,12,FALSE)*HLOOKUP(Bird_Chronic[[#This Row],[Crop]],Input_Scenario,8,FALSE)*Bird_Chronic[[#This Row],[SVm]],""),"")</f>
        <v/>
      </c>
      <c r="L79" s="370" t="str">
        <f>IFERROR(IF(ISNUMBER(INDEX(Active[B_NOAEL], 2)),
                          INDEX(Active[B_NOAEL], 2)/K79,""),"")</f>
        <v/>
      </c>
      <c r="M79" s="370" t="str">
        <f>IFERROR(IF(Active3=TRUE,HLOOKUP(Bird_Chronic[[#This Row],[Crop]],Input_Scenario,12,FALSE)*HLOOKUP(Bird_Chronic[[#This Row],[Crop]],Input_Scenario,8,FALSE)*Bird_Chronic[[#This Row],[SVm]],""),"")</f>
        <v/>
      </c>
      <c r="N79" s="370" t="str">
        <f>IFERROR(IF(ISNUMBER(INDEX(Active[B_NOAEL], 3)),
                          INDEX(Active[B_NOAEL], 3)/M79,""),"")</f>
        <v/>
      </c>
      <c r="O79" s="370" t="str">
        <f>IFERROR(IF(Active4=TRUE,HLOOKUP(Bird_Chronic[[#This Row],[Crop]],Input_Scenario,13,FALSE)*HLOOKUP(Bird_Chronic[[#This Row],[Crop]],Input_Scenario,8,FALSE)*Bird_Chronic[[#This Row],[SVm]],""),"")</f>
        <v/>
      </c>
      <c r="P79" s="370" t="str">
        <f>IFERROR(IF(ISNUMBER(INDEX(Active[B_NOAEL], 4)),
                          INDEX(Active[B_NOAEL], 4)/O79,""),"")</f>
        <v/>
      </c>
      <c r="Q79" s="370" t="str">
        <f>IFERROR(IF(Active5=TRUE,HLOOKUP(Bird_Chronic[[#This Row],[Crop]],Input_Scenario,14,FALSE)*HLOOKUP(Bird_Chronic[[#This Row],[Crop]],Input_Scenario,8,FALSE)*Bird_Chronic[[#This Row],[SVm]],""),"")</f>
        <v/>
      </c>
      <c r="R79" s="370" t="str">
        <f>IFERROR(IF(ISNUMBER(INDEX(Active[B_NOAEL], 5)),
                          INDEX(Active[B_NOAEL], 5)/Q79,""),"")</f>
        <v/>
      </c>
      <c r="S79" s="204"/>
      <c r="T79" s="56"/>
      <c r="U79" s="56"/>
      <c r="V79" s="56"/>
      <c r="W79" s="56"/>
      <c r="X79" s="56"/>
      <c r="Y79" s="56"/>
      <c r="Z79" s="56"/>
      <c r="AA79" s="56"/>
      <c r="AB79" s="56"/>
      <c r="AC79" s="56"/>
      <c r="AD79" s="56"/>
      <c r="AE79" s="56"/>
      <c r="AF79" s="56"/>
      <c r="AG79" s="56"/>
      <c r="AH79" s="56"/>
    </row>
    <row r="80" spans="1:34" s="106" customFormat="1" ht="16.5" customHeight="1">
      <c r="A80" s="56"/>
      <c r="B80" s="314" t="str">
        <f t="shared" ca="1" si="1"/>
        <v>No input</v>
      </c>
      <c r="C80" s="72" t="s">
        <v>152</v>
      </c>
      <c r="D80" s="73" t="s">
        <v>134</v>
      </c>
      <c r="E80" s="73" t="s">
        <v>209</v>
      </c>
      <c r="F80" s="113">
        <v>3.4</v>
      </c>
      <c r="G80" s="203" t="str">
        <f ca="1">IF(AND(Bird_Chronic[[#This Row],[Relevance]]="Input provided", Count&gt;=1),
       IF(B_ChronicScheme="C(mix)",
                 HLOOKUP(Bird_Chronic[[#This Row],[Crop]], Input_Scenario,10,FALSE)*Bird_Chronic[[#This Row],[SVm]]*HLOOKUP(Bird_Chronic[[#This Row],[Crop]],Input_Scenario,8,FALSE),""),"")</f>
        <v/>
      </c>
      <c r="H80" s="368" t="str">
        <f>IF(Count&gt;=1,
       IF(AND(B_ChronicScheme ="C(mix)", ISNUMBER(G80)), (B_NOAEL_form/G80),
       IF(AND(B_ChronicScheme = "HIsum", Count &gt; 1),
            IF(ISNUMBER(J80), IF(ISNUMBER(J80), 5/J80, 0) + IF(ISNUMBER(L80), 5/L80, 0) + IF(ISNUMBER(N80), 5/N80, 0) + IF(ISNUMBER(P80), 5/P80, 0) + IF(ISNUMBER(R80), 5/R80, 0),""), "")),"")</f>
        <v/>
      </c>
      <c r="I80" s="370" t="str">
        <f>IFERROR(IF(Active1=TRUE,HLOOKUP(Bird_Chronic[[#This Row],[Crop]],Input_Scenario,11,FALSE)*HLOOKUP(Bird_Chronic[[#This Row],[Crop]],Input_Scenario,8,FALSE)*Bird_Chronic[[#This Row],[SVm]],""),"")</f>
        <v/>
      </c>
      <c r="J80" s="370" t="str">
        <f>IFERROR(IF(ISNUMBER(INDEX(Active[B_NOAEL], 1)),
                          INDEX(Active[B_NOAEL], 1)/I80,""),"")</f>
        <v/>
      </c>
      <c r="K80" s="370" t="str">
        <f>IFERROR(IF(Active2=TRUE,HLOOKUP(Bird_Chronic[[#This Row],[Crop]],Input_Scenario,12,FALSE)*HLOOKUP(Bird_Chronic[[#This Row],[Crop]],Input_Scenario,8,FALSE)*Bird_Chronic[[#This Row],[SVm]],""),"")</f>
        <v/>
      </c>
      <c r="L80" s="370" t="str">
        <f>IFERROR(IF(ISNUMBER(INDEX(Active[B_NOAEL], 2)),
                          INDEX(Active[B_NOAEL], 2)/K80,""),"")</f>
        <v/>
      </c>
      <c r="M80" s="370" t="str">
        <f>IFERROR(IF(Active3=TRUE,HLOOKUP(Bird_Chronic[[#This Row],[Crop]],Input_Scenario,12,FALSE)*HLOOKUP(Bird_Chronic[[#This Row],[Crop]],Input_Scenario,8,FALSE)*Bird_Chronic[[#This Row],[SVm]],""),"")</f>
        <v/>
      </c>
      <c r="N80" s="370" t="str">
        <f>IFERROR(IF(ISNUMBER(INDEX(Active[B_NOAEL], 3)),
                          INDEX(Active[B_NOAEL], 3)/M80,""),"")</f>
        <v/>
      </c>
      <c r="O80" s="370" t="str">
        <f>IFERROR(IF(Active4=TRUE,HLOOKUP(Bird_Chronic[[#This Row],[Crop]],Input_Scenario,13,FALSE)*HLOOKUP(Bird_Chronic[[#This Row],[Crop]],Input_Scenario,8,FALSE)*Bird_Chronic[[#This Row],[SVm]],""),"")</f>
        <v/>
      </c>
      <c r="P80" s="370" t="str">
        <f>IFERROR(IF(ISNUMBER(INDEX(Active[B_NOAEL], 4)),
                          INDEX(Active[B_NOAEL], 4)/O80,""),"")</f>
        <v/>
      </c>
      <c r="Q80" s="370" t="str">
        <f>IFERROR(IF(Active5=TRUE,HLOOKUP(Bird_Chronic[[#This Row],[Crop]],Input_Scenario,14,FALSE)*HLOOKUP(Bird_Chronic[[#This Row],[Crop]],Input_Scenario,8,FALSE)*Bird_Chronic[[#This Row],[SVm]],""),"")</f>
        <v/>
      </c>
      <c r="R80" s="370" t="str">
        <f>IFERROR(IF(ISNUMBER(INDEX(Active[B_NOAEL], 5)),
                          INDEX(Active[B_NOAEL], 5)/Q80,""),"")</f>
        <v/>
      </c>
      <c r="S80" s="204"/>
      <c r="T80" s="56"/>
      <c r="U80" s="56"/>
      <c r="V80" s="56"/>
      <c r="W80" s="56"/>
      <c r="X80" s="56"/>
      <c r="Y80" s="56"/>
      <c r="Z80" s="56"/>
      <c r="AA80" s="56"/>
      <c r="AB80" s="56"/>
      <c r="AC80" s="56"/>
      <c r="AD80" s="56"/>
      <c r="AE80" s="56"/>
      <c r="AF80" s="56"/>
      <c r="AG80" s="56"/>
      <c r="AH80" s="56"/>
    </row>
    <row r="81" spans="1:34" s="106" customFormat="1" ht="16.5" customHeight="1">
      <c r="A81" s="56"/>
      <c r="B81" s="314" t="str">
        <f t="shared" ca="1" si="1"/>
        <v>No input</v>
      </c>
      <c r="C81" s="72" t="s">
        <v>152</v>
      </c>
      <c r="D81" s="73" t="s">
        <v>153</v>
      </c>
      <c r="E81" s="73" t="s">
        <v>223</v>
      </c>
      <c r="F81" s="113">
        <v>22.7</v>
      </c>
      <c r="G81" s="203" t="str">
        <f ca="1">IF(AND(Bird_Chronic[[#This Row],[Relevance]]="Input provided", Count&gt;=1),
       IF(B_ChronicScheme="C(mix)",
                 HLOOKUP(Bird_Chronic[[#This Row],[Crop]], Input_Scenario,10,FALSE)*Bird_Chronic[[#This Row],[SVm]]*HLOOKUP(Bird_Chronic[[#This Row],[Crop]],Input_Scenario,8,FALSE),""),"")</f>
        <v/>
      </c>
      <c r="H81" s="368" t="str">
        <f>IF(Count&gt;=1,
       IF(AND(B_ChronicScheme ="C(mix)", ISNUMBER(G81)), (B_NOAEL_form/G81),
       IF(AND(B_ChronicScheme = "HIsum", Count &gt; 1),
            IF(ISNUMBER(J81), IF(ISNUMBER(J81), 5/J81, 0) + IF(ISNUMBER(L81), 5/L81, 0) + IF(ISNUMBER(N81), 5/N81, 0) + IF(ISNUMBER(P81), 5/P81, 0) + IF(ISNUMBER(R81), 5/R81, 0),""), "")),"")</f>
        <v/>
      </c>
      <c r="I81" s="370" t="str">
        <f>IFERROR(IF(Active1=TRUE,HLOOKUP(Bird_Chronic[[#This Row],[Crop]],Input_Scenario,11,FALSE)*HLOOKUP(Bird_Chronic[[#This Row],[Crop]],Input_Scenario,8,FALSE)*Bird_Chronic[[#This Row],[SVm]],""),"")</f>
        <v/>
      </c>
      <c r="J81" s="370" t="str">
        <f>IFERROR(IF(ISNUMBER(INDEX(Active[B_NOAEL], 1)),
                          INDEX(Active[B_NOAEL], 1)/I81,""),"")</f>
        <v/>
      </c>
      <c r="K81" s="370" t="str">
        <f>IFERROR(IF(Active2=TRUE,HLOOKUP(Bird_Chronic[[#This Row],[Crop]],Input_Scenario,12,FALSE)*HLOOKUP(Bird_Chronic[[#This Row],[Crop]],Input_Scenario,8,FALSE)*Bird_Chronic[[#This Row],[SVm]],""),"")</f>
        <v/>
      </c>
      <c r="L81" s="370" t="str">
        <f>IFERROR(IF(ISNUMBER(INDEX(Active[B_NOAEL], 2)),
                          INDEX(Active[B_NOAEL], 2)/K81,""),"")</f>
        <v/>
      </c>
      <c r="M81" s="370" t="str">
        <f>IFERROR(IF(Active3=TRUE,HLOOKUP(Bird_Chronic[[#This Row],[Crop]],Input_Scenario,12,FALSE)*HLOOKUP(Bird_Chronic[[#This Row],[Crop]],Input_Scenario,8,FALSE)*Bird_Chronic[[#This Row],[SVm]],""),"")</f>
        <v/>
      </c>
      <c r="N81" s="370" t="str">
        <f>IFERROR(IF(ISNUMBER(INDEX(Active[B_NOAEL], 3)),
                          INDEX(Active[B_NOAEL], 3)/M81,""),"")</f>
        <v/>
      </c>
      <c r="O81" s="370" t="str">
        <f>IFERROR(IF(Active4=TRUE,HLOOKUP(Bird_Chronic[[#This Row],[Crop]],Input_Scenario,13,FALSE)*HLOOKUP(Bird_Chronic[[#This Row],[Crop]],Input_Scenario,8,FALSE)*Bird_Chronic[[#This Row],[SVm]],""),"")</f>
        <v/>
      </c>
      <c r="P81" s="370" t="str">
        <f>IFERROR(IF(ISNUMBER(INDEX(Active[B_NOAEL], 4)),
                          INDEX(Active[B_NOAEL], 4)/O81,""),"")</f>
        <v/>
      </c>
      <c r="Q81" s="370" t="str">
        <f>IFERROR(IF(Active5=TRUE,HLOOKUP(Bird_Chronic[[#This Row],[Crop]],Input_Scenario,14,FALSE)*HLOOKUP(Bird_Chronic[[#This Row],[Crop]],Input_Scenario,8,FALSE)*Bird_Chronic[[#This Row],[SVm]],""),"")</f>
        <v/>
      </c>
      <c r="R81" s="370" t="str">
        <f>IFERROR(IF(ISNUMBER(INDEX(Active[B_NOAEL], 5)),
                          INDEX(Active[B_NOAEL], 5)/Q81,""),"")</f>
        <v/>
      </c>
      <c r="S81" s="204"/>
      <c r="T81" s="56"/>
      <c r="U81" s="56"/>
      <c r="V81" s="56"/>
      <c r="W81" s="56"/>
      <c r="X81" s="56"/>
      <c r="Y81" s="56"/>
      <c r="Z81" s="56"/>
      <c r="AA81" s="56"/>
      <c r="AB81" s="56"/>
      <c r="AC81" s="56"/>
      <c r="AD81" s="56"/>
      <c r="AE81" s="56"/>
      <c r="AF81" s="56"/>
      <c r="AG81" s="56"/>
      <c r="AH81" s="56"/>
    </row>
    <row r="82" spans="1:34" s="106" customFormat="1" ht="16.5" customHeight="1">
      <c r="A82" s="56"/>
      <c r="B82" s="314" t="str">
        <f t="shared" ca="1" si="1"/>
        <v>No input</v>
      </c>
      <c r="C82" s="72" t="s">
        <v>152</v>
      </c>
      <c r="D82" s="73" t="s">
        <v>134</v>
      </c>
      <c r="E82" s="73" t="s">
        <v>210</v>
      </c>
      <c r="F82" s="113">
        <v>3.3</v>
      </c>
      <c r="G82" s="203" t="str">
        <f ca="1">IF(AND(Bird_Chronic[[#This Row],[Relevance]]="Input provided", Count&gt;=1),
       IF(B_ChronicScheme="C(mix)",
                 HLOOKUP(Bird_Chronic[[#This Row],[Crop]], Input_Scenario,10,FALSE)*Bird_Chronic[[#This Row],[SVm]]*HLOOKUP(Bird_Chronic[[#This Row],[Crop]],Input_Scenario,8,FALSE),""),"")</f>
        <v/>
      </c>
      <c r="H82" s="368" t="str">
        <f>IF(Count&gt;=1,
       IF(AND(B_ChronicScheme ="C(mix)", ISNUMBER(G82)), (B_NOAEL_form/G82),
       IF(AND(B_ChronicScheme = "HIsum", Count &gt; 1),
            IF(ISNUMBER(J82), IF(ISNUMBER(J82), 5/J82, 0) + IF(ISNUMBER(L82), 5/L82, 0) + IF(ISNUMBER(N82), 5/N82, 0) + IF(ISNUMBER(P82), 5/P82, 0) + IF(ISNUMBER(R82), 5/R82, 0),""), "")),"")</f>
        <v/>
      </c>
      <c r="I82" s="370" t="str">
        <f>IFERROR(IF(Active1=TRUE,HLOOKUP(Bird_Chronic[[#This Row],[Crop]],Input_Scenario,11,FALSE)*HLOOKUP(Bird_Chronic[[#This Row],[Crop]],Input_Scenario,8,FALSE)*Bird_Chronic[[#This Row],[SVm]],""),"")</f>
        <v/>
      </c>
      <c r="J82" s="370" t="str">
        <f>IFERROR(IF(ISNUMBER(INDEX(Active[B_NOAEL], 1)),
                          INDEX(Active[B_NOAEL], 1)/I82,""),"")</f>
        <v/>
      </c>
      <c r="K82" s="370" t="str">
        <f>IFERROR(IF(Active2=TRUE,HLOOKUP(Bird_Chronic[[#This Row],[Crop]],Input_Scenario,12,FALSE)*HLOOKUP(Bird_Chronic[[#This Row],[Crop]],Input_Scenario,8,FALSE)*Bird_Chronic[[#This Row],[SVm]],""),"")</f>
        <v/>
      </c>
      <c r="L82" s="370" t="str">
        <f>IFERROR(IF(ISNUMBER(INDEX(Active[B_NOAEL], 2)),
                          INDEX(Active[B_NOAEL], 2)/K82,""),"")</f>
        <v/>
      </c>
      <c r="M82" s="370" t="str">
        <f>IFERROR(IF(Active3=TRUE,HLOOKUP(Bird_Chronic[[#This Row],[Crop]],Input_Scenario,12,FALSE)*HLOOKUP(Bird_Chronic[[#This Row],[Crop]],Input_Scenario,8,FALSE)*Bird_Chronic[[#This Row],[SVm]],""),"")</f>
        <v/>
      </c>
      <c r="N82" s="370" t="str">
        <f>IFERROR(IF(ISNUMBER(INDEX(Active[B_NOAEL], 3)),
                          INDEX(Active[B_NOAEL], 3)/M82,""),"")</f>
        <v/>
      </c>
      <c r="O82" s="370" t="str">
        <f>IFERROR(IF(Active4=TRUE,HLOOKUP(Bird_Chronic[[#This Row],[Crop]],Input_Scenario,13,FALSE)*HLOOKUP(Bird_Chronic[[#This Row],[Crop]],Input_Scenario,8,FALSE)*Bird_Chronic[[#This Row],[SVm]],""),"")</f>
        <v/>
      </c>
      <c r="P82" s="370" t="str">
        <f>IFERROR(IF(ISNUMBER(INDEX(Active[B_NOAEL], 4)),
                          INDEX(Active[B_NOAEL], 4)/O82,""),"")</f>
        <v/>
      </c>
      <c r="Q82" s="370" t="str">
        <f>IFERROR(IF(Active5=TRUE,HLOOKUP(Bird_Chronic[[#This Row],[Crop]],Input_Scenario,14,FALSE)*HLOOKUP(Bird_Chronic[[#This Row],[Crop]],Input_Scenario,8,FALSE)*Bird_Chronic[[#This Row],[SVm]],""),"")</f>
        <v/>
      </c>
      <c r="R82" s="370" t="str">
        <f>IFERROR(IF(ISNUMBER(INDEX(Active[B_NOAEL], 5)),
                          INDEX(Active[B_NOAEL], 5)/Q82,""),"")</f>
        <v/>
      </c>
      <c r="S82" s="204"/>
      <c r="T82" s="56"/>
      <c r="U82" s="56"/>
      <c r="V82" s="56"/>
      <c r="W82" s="56"/>
      <c r="X82" s="56"/>
      <c r="Y82" s="56"/>
      <c r="Z82" s="56"/>
      <c r="AA82" s="56"/>
      <c r="AB82" s="56"/>
      <c r="AC82" s="56"/>
      <c r="AD82" s="56"/>
      <c r="AE82" s="56"/>
      <c r="AF82" s="56"/>
      <c r="AG82" s="56"/>
      <c r="AH82" s="56"/>
    </row>
    <row r="83" spans="1:34" s="106" customFormat="1" ht="16.5" customHeight="1">
      <c r="A83" s="56"/>
      <c r="B83" s="314" t="str">
        <f t="shared" ca="1" si="1"/>
        <v>No input</v>
      </c>
      <c r="C83" s="72" t="s">
        <v>152</v>
      </c>
      <c r="D83" s="73" t="s">
        <v>111</v>
      </c>
      <c r="E83" s="73" t="s">
        <v>211</v>
      </c>
      <c r="F83" s="113">
        <v>9.6999999999999993</v>
      </c>
      <c r="G83" s="203" t="str">
        <f ca="1">IF(AND(Bird_Chronic[[#This Row],[Relevance]]="Input provided", Count&gt;=1),
       IF(B_ChronicScheme="C(mix)",
                 HLOOKUP(Bird_Chronic[[#This Row],[Crop]], Input_Scenario,10,FALSE)*Bird_Chronic[[#This Row],[SVm]]*HLOOKUP(Bird_Chronic[[#This Row],[Crop]],Input_Scenario,8,FALSE),""),"")</f>
        <v/>
      </c>
      <c r="H83" s="368" t="str">
        <f>IF(Count&gt;=1,
       IF(AND(B_ChronicScheme ="C(mix)", ISNUMBER(G83)), (B_NOAEL_form/G83),
       IF(AND(B_ChronicScheme = "HIsum", Count &gt; 1),
            IF(ISNUMBER(J83), IF(ISNUMBER(J83), 5/J83, 0) + IF(ISNUMBER(L83), 5/L83, 0) + IF(ISNUMBER(N83), 5/N83, 0) + IF(ISNUMBER(P83), 5/P83, 0) + IF(ISNUMBER(R83), 5/R83, 0),""), "")),"")</f>
        <v/>
      </c>
      <c r="I83" s="370" t="str">
        <f>IFERROR(IF(Active1=TRUE,HLOOKUP(Bird_Chronic[[#This Row],[Crop]],Input_Scenario,11,FALSE)*HLOOKUP(Bird_Chronic[[#This Row],[Crop]],Input_Scenario,8,FALSE)*Bird_Chronic[[#This Row],[SVm]],""),"")</f>
        <v/>
      </c>
      <c r="J83" s="370" t="str">
        <f>IFERROR(IF(ISNUMBER(INDEX(Active[B_NOAEL], 1)),
                          INDEX(Active[B_NOAEL], 1)/I83,""),"")</f>
        <v/>
      </c>
      <c r="K83" s="370" t="str">
        <f>IFERROR(IF(Active2=TRUE,HLOOKUP(Bird_Chronic[[#This Row],[Crop]],Input_Scenario,12,FALSE)*HLOOKUP(Bird_Chronic[[#This Row],[Crop]],Input_Scenario,8,FALSE)*Bird_Chronic[[#This Row],[SVm]],""),"")</f>
        <v/>
      </c>
      <c r="L83" s="370" t="str">
        <f>IFERROR(IF(ISNUMBER(INDEX(Active[B_NOAEL], 2)),
                          INDEX(Active[B_NOAEL], 2)/K83,""),"")</f>
        <v/>
      </c>
      <c r="M83" s="370" t="str">
        <f>IFERROR(IF(Active3=TRUE,HLOOKUP(Bird_Chronic[[#This Row],[Crop]],Input_Scenario,12,FALSE)*HLOOKUP(Bird_Chronic[[#This Row],[Crop]],Input_Scenario,8,FALSE)*Bird_Chronic[[#This Row],[SVm]],""),"")</f>
        <v/>
      </c>
      <c r="N83" s="370" t="str">
        <f>IFERROR(IF(ISNUMBER(INDEX(Active[B_NOAEL], 3)),
                          INDEX(Active[B_NOAEL], 3)/M83,""),"")</f>
        <v/>
      </c>
      <c r="O83" s="370" t="str">
        <f>IFERROR(IF(Active4=TRUE,HLOOKUP(Bird_Chronic[[#This Row],[Crop]],Input_Scenario,13,FALSE)*HLOOKUP(Bird_Chronic[[#This Row],[Crop]],Input_Scenario,8,FALSE)*Bird_Chronic[[#This Row],[SVm]],""),"")</f>
        <v/>
      </c>
      <c r="P83" s="370" t="str">
        <f>IFERROR(IF(ISNUMBER(INDEX(Active[B_NOAEL], 4)),
                          INDEX(Active[B_NOAEL], 4)/O83,""),"")</f>
        <v/>
      </c>
      <c r="Q83" s="370" t="str">
        <f>IFERROR(IF(Active5=TRUE,HLOOKUP(Bird_Chronic[[#This Row],[Crop]],Input_Scenario,14,FALSE)*HLOOKUP(Bird_Chronic[[#This Row],[Crop]],Input_Scenario,8,FALSE)*Bird_Chronic[[#This Row],[SVm]],""),"")</f>
        <v/>
      </c>
      <c r="R83" s="370" t="str">
        <f>IFERROR(IF(ISNUMBER(INDEX(Active[B_NOAEL], 5)),
                          INDEX(Active[B_NOAEL], 5)/Q83,""),"")</f>
        <v/>
      </c>
      <c r="S83" s="204"/>
      <c r="T83" s="56"/>
      <c r="U83" s="56"/>
      <c r="V83" s="56"/>
      <c r="W83" s="56"/>
      <c r="X83" s="56"/>
      <c r="Y83" s="56"/>
      <c r="Z83" s="56"/>
      <c r="AA83" s="56"/>
      <c r="AB83" s="56"/>
      <c r="AC83" s="56"/>
      <c r="AD83" s="56"/>
      <c r="AE83" s="56"/>
      <c r="AF83" s="56"/>
      <c r="AG83" s="56"/>
      <c r="AH83" s="56"/>
    </row>
    <row r="84" spans="1:34" s="106" customFormat="1" ht="16.5" customHeight="1">
      <c r="A84" s="56"/>
      <c r="B84" s="314" t="str">
        <f t="shared" ca="1" si="1"/>
        <v>No input</v>
      </c>
      <c r="C84" s="72" t="s">
        <v>154</v>
      </c>
      <c r="D84" s="73" t="s">
        <v>119</v>
      </c>
      <c r="E84" s="73" t="s">
        <v>224</v>
      </c>
      <c r="F84" s="113">
        <v>3</v>
      </c>
      <c r="G84" s="203" t="str">
        <f ca="1">IF(AND(Bird_Chronic[[#This Row],[Relevance]]="Input provided", Count&gt;=1),
       IF(B_ChronicScheme="C(mix)",
                 HLOOKUP(Bird_Chronic[[#This Row],[Crop]], Input_Scenario,10,FALSE)*Bird_Chronic[[#This Row],[SVm]]*HLOOKUP(Bird_Chronic[[#This Row],[Crop]],Input_Scenario,8,FALSE),""),"")</f>
        <v/>
      </c>
      <c r="H84" s="368" t="str">
        <f>IF(Count&gt;=1,
       IF(AND(B_ChronicScheme ="C(mix)", ISNUMBER(G84)), (B_NOAEL_form/G84),
       IF(AND(B_ChronicScheme = "HIsum", Count &gt; 1),
            IF(ISNUMBER(J84), IF(ISNUMBER(J84), 5/J84, 0) + IF(ISNUMBER(L84), 5/L84, 0) + IF(ISNUMBER(N84), 5/N84, 0) + IF(ISNUMBER(P84), 5/P84, 0) + IF(ISNUMBER(R84), 5/R84, 0),""), "")),"")</f>
        <v/>
      </c>
      <c r="I84" s="370" t="str">
        <f>IFERROR(IF(Active1=TRUE,HLOOKUP(Bird_Chronic[[#This Row],[Crop]],Input_Scenario,11,FALSE)*HLOOKUP(Bird_Chronic[[#This Row],[Crop]],Input_Scenario,8,FALSE)*Bird_Chronic[[#This Row],[SVm]],""),"")</f>
        <v/>
      </c>
      <c r="J84" s="370" t="str">
        <f>IFERROR(IF(ISNUMBER(INDEX(Active[B_NOAEL], 1)),
                          INDEX(Active[B_NOAEL], 1)/I84,""),"")</f>
        <v/>
      </c>
      <c r="K84" s="370" t="str">
        <f>IFERROR(IF(Active2=TRUE,HLOOKUP(Bird_Chronic[[#This Row],[Crop]],Input_Scenario,12,FALSE)*HLOOKUP(Bird_Chronic[[#This Row],[Crop]],Input_Scenario,8,FALSE)*Bird_Chronic[[#This Row],[SVm]],""),"")</f>
        <v/>
      </c>
      <c r="L84" s="370" t="str">
        <f>IFERROR(IF(ISNUMBER(INDEX(Active[B_NOAEL], 2)),
                          INDEX(Active[B_NOAEL], 2)/K84,""),"")</f>
        <v/>
      </c>
      <c r="M84" s="370" t="str">
        <f>IFERROR(IF(Active3=TRUE,HLOOKUP(Bird_Chronic[[#This Row],[Crop]],Input_Scenario,12,FALSE)*HLOOKUP(Bird_Chronic[[#This Row],[Crop]],Input_Scenario,8,FALSE)*Bird_Chronic[[#This Row],[SVm]],""),"")</f>
        <v/>
      </c>
      <c r="N84" s="370" t="str">
        <f>IFERROR(IF(ISNUMBER(INDEX(Active[B_NOAEL], 3)),
                          INDEX(Active[B_NOAEL], 3)/M84,""),"")</f>
        <v/>
      </c>
      <c r="O84" s="370" t="str">
        <f>IFERROR(IF(Active4=TRUE,HLOOKUP(Bird_Chronic[[#This Row],[Crop]],Input_Scenario,13,FALSE)*HLOOKUP(Bird_Chronic[[#This Row],[Crop]],Input_Scenario,8,FALSE)*Bird_Chronic[[#This Row],[SVm]],""),"")</f>
        <v/>
      </c>
      <c r="P84" s="370" t="str">
        <f>IFERROR(IF(ISNUMBER(INDEX(Active[B_NOAEL], 4)),
                          INDEX(Active[B_NOAEL], 4)/O84,""),"")</f>
        <v/>
      </c>
      <c r="Q84" s="370" t="str">
        <f>IFERROR(IF(Active5=TRUE,HLOOKUP(Bird_Chronic[[#This Row],[Crop]],Input_Scenario,14,FALSE)*HLOOKUP(Bird_Chronic[[#This Row],[Crop]],Input_Scenario,8,FALSE)*Bird_Chronic[[#This Row],[SVm]],""),"")</f>
        <v/>
      </c>
      <c r="R84" s="370" t="str">
        <f>IFERROR(IF(ISNUMBER(INDEX(Active[B_NOAEL], 5)),
                          INDEX(Active[B_NOAEL], 5)/Q84,""),"")</f>
        <v/>
      </c>
      <c r="S84" s="204"/>
      <c r="T84" s="56"/>
      <c r="U84" s="56"/>
      <c r="V84" s="56"/>
      <c r="W84" s="56"/>
      <c r="X84" s="56"/>
      <c r="Y84" s="56"/>
      <c r="Z84" s="56"/>
      <c r="AA84" s="56"/>
      <c r="AB84" s="56"/>
      <c r="AC84" s="56"/>
      <c r="AD84" s="56"/>
      <c r="AE84" s="56"/>
      <c r="AF84" s="56"/>
      <c r="AG84" s="56"/>
      <c r="AH84" s="56"/>
    </row>
    <row r="85" spans="1:34" s="106" customFormat="1" ht="16.5" customHeight="1">
      <c r="A85" s="56"/>
      <c r="B85" s="314" t="str">
        <f t="shared" ca="1" si="1"/>
        <v>No input</v>
      </c>
      <c r="C85" s="72" t="s">
        <v>154</v>
      </c>
      <c r="D85" s="73" t="s">
        <v>108</v>
      </c>
      <c r="E85" s="73" t="s">
        <v>211</v>
      </c>
      <c r="F85" s="113">
        <v>11.3</v>
      </c>
      <c r="G85" s="203" t="str">
        <f ca="1">IF(AND(Bird_Chronic[[#This Row],[Relevance]]="Input provided", Count&gt;=1),
       IF(B_ChronicScheme="C(mix)",
                 HLOOKUP(Bird_Chronic[[#This Row],[Crop]], Input_Scenario,10,FALSE)*Bird_Chronic[[#This Row],[SVm]]*HLOOKUP(Bird_Chronic[[#This Row],[Crop]],Input_Scenario,8,FALSE),""),"")</f>
        <v/>
      </c>
      <c r="H85" s="368" t="str">
        <f>IF(Count&gt;=1,
       IF(AND(B_ChronicScheme ="C(mix)", ISNUMBER(G85)), (B_NOAEL_form/G85),
       IF(AND(B_ChronicScheme = "HIsum", Count &gt; 1),
            IF(ISNUMBER(J85), IF(ISNUMBER(J85), 5/J85, 0) + IF(ISNUMBER(L85), 5/L85, 0) + IF(ISNUMBER(N85), 5/N85, 0) + IF(ISNUMBER(P85), 5/P85, 0) + IF(ISNUMBER(R85), 5/R85, 0),""), "")),"")</f>
        <v/>
      </c>
      <c r="I85" s="370" t="str">
        <f>IFERROR(IF(Active1=TRUE,HLOOKUP(Bird_Chronic[[#This Row],[Crop]],Input_Scenario,11,FALSE)*HLOOKUP(Bird_Chronic[[#This Row],[Crop]],Input_Scenario,8,FALSE)*Bird_Chronic[[#This Row],[SVm]],""),"")</f>
        <v/>
      </c>
      <c r="J85" s="370" t="str">
        <f>IFERROR(IF(ISNUMBER(INDEX(Active[B_NOAEL], 1)),
                          INDEX(Active[B_NOAEL], 1)/I85,""),"")</f>
        <v/>
      </c>
      <c r="K85" s="370" t="str">
        <f>IFERROR(IF(Active2=TRUE,HLOOKUP(Bird_Chronic[[#This Row],[Crop]],Input_Scenario,12,FALSE)*HLOOKUP(Bird_Chronic[[#This Row],[Crop]],Input_Scenario,8,FALSE)*Bird_Chronic[[#This Row],[SVm]],""),"")</f>
        <v/>
      </c>
      <c r="L85" s="370" t="str">
        <f>IFERROR(IF(ISNUMBER(INDEX(Active[B_NOAEL], 2)),
                          INDEX(Active[B_NOAEL], 2)/K85,""),"")</f>
        <v/>
      </c>
      <c r="M85" s="370" t="str">
        <f>IFERROR(IF(Active3=TRUE,HLOOKUP(Bird_Chronic[[#This Row],[Crop]],Input_Scenario,12,FALSE)*HLOOKUP(Bird_Chronic[[#This Row],[Crop]],Input_Scenario,8,FALSE)*Bird_Chronic[[#This Row],[SVm]],""),"")</f>
        <v/>
      </c>
      <c r="N85" s="370" t="str">
        <f>IFERROR(IF(ISNUMBER(INDEX(Active[B_NOAEL], 3)),
                          INDEX(Active[B_NOAEL], 3)/M85,""),"")</f>
        <v/>
      </c>
      <c r="O85" s="370" t="str">
        <f>IFERROR(IF(Active4=TRUE,HLOOKUP(Bird_Chronic[[#This Row],[Crop]],Input_Scenario,13,FALSE)*HLOOKUP(Bird_Chronic[[#This Row],[Crop]],Input_Scenario,8,FALSE)*Bird_Chronic[[#This Row],[SVm]],""),"")</f>
        <v/>
      </c>
      <c r="P85" s="370" t="str">
        <f>IFERROR(IF(ISNUMBER(INDEX(Active[B_NOAEL], 4)),
                          INDEX(Active[B_NOAEL], 4)/O85,""),"")</f>
        <v/>
      </c>
      <c r="Q85" s="370" t="str">
        <f>IFERROR(IF(Active5=TRUE,HLOOKUP(Bird_Chronic[[#This Row],[Crop]],Input_Scenario,14,FALSE)*HLOOKUP(Bird_Chronic[[#This Row],[Crop]],Input_Scenario,8,FALSE)*Bird_Chronic[[#This Row],[SVm]],""),"")</f>
        <v/>
      </c>
      <c r="R85" s="370" t="str">
        <f>IFERROR(IF(ISNUMBER(INDEX(Active[B_NOAEL], 5)),
                          INDEX(Active[B_NOAEL], 5)/Q85,""),"")</f>
        <v/>
      </c>
      <c r="S85" s="204"/>
      <c r="T85" s="56"/>
      <c r="U85" s="56"/>
      <c r="V85" s="56"/>
      <c r="W85" s="56"/>
      <c r="X85" s="56"/>
      <c r="Y85" s="56"/>
      <c r="Z85" s="56"/>
      <c r="AA85" s="56"/>
      <c r="AB85" s="56"/>
      <c r="AC85" s="56"/>
      <c r="AD85" s="56"/>
      <c r="AE85" s="56"/>
      <c r="AF85" s="56"/>
      <c r="AG85" s="56"/>
      <c r="AH85" s="56"/>
    </row>
    <row r="86" spans="1:34" s="106" customFormat="1" ht="16.5" customHeight="1">
      <c r="A86" s="56"/>
      <c r="B86" s="314" t="str">
        <f t="shared" ca="1" si="1"/>
        <v>No input</v>
      </c>
      <c r="C86" s="72" t="s">
        <v>154</v>
      </c>
      <c r="D86" s="73" t="s">
        <v>111</v>
      </c>
      <c r="E86" s="73" t="s">
        <v>224</v>
      </c>
      <c r="F86" s="113">
        <v>0.8</v>
      </c>
      <c r="G86" s="203" t="str">
        <f ca="1">IF(AND(Bird_Chronic[[#This Row],[Relevance]]="Input provided", Count&gt;=1),
       IF(B_ChronicScheme="C(mix)",
                 HLOOKUP(Bird_Chronic[[#This Row],[Crop]], Input_Scenario,10,FALSE)*Bird_Chronic[[#This Row],[SVm]]*HLOOKUP(Bird_Chronic[[#This Row],[Crop]],Input_Scenario,8,FALSE),""),"")</f>
        <v/>
      </c>
      <c r="H86" s="368" t="str">
        <f>IF(Count&gt;=1,
       IF(AND(B_ChronicScheme ="C(mix)", ISNUMBER(G86)), (B_NOAEL_form/G86),
       IF(AND(B_ChronicScheme = "HIsum", Count &gt; 1),
            IF(ISNUMBER(J86), IF(ISNUMBER(J86), 5/J86, 0) + IF(ISNUMBER(L86), 5/L86, 0) + IF(ISNUMBER(N86), 5/N86, 0) + IF(ISNUMBER(P86), 5/P86, 0) + IF(ISNUMBER(R86), 5/R86, 0),""), "")),"")</f>
        <v/>
      </c>
      <c r="I86" s="370" t="str">
        <f>IFERROR(IF(Active1=TRUE,HLOOKUP(Bird_Chronic[[#This Row],[Crop]],Input_Scenario,11,FALSE)*HLOOKUP(Bird_Chronic[[#This Row],[Crop]],Input_Scenario,8,FALSE)*Bird_Chronic[[#This Row],[SVm]],""),"")</f>
        <v/>
      </c>
      <c r="J86" s="370" t="str">
        <f>IFERROR(IF(ISNUMBER(INDEX(Active[B_NOAEL], 1)),
                          INDEX(Active[B_NOAEL], 1)/I86,""),"")</f>
        <v/>
      </c>
      <c r="K86" s="370" t="str">
        <f>IFERROR(IF(Active2=TRUE,HLOOKUP(Bird_Chronic[[#This Row],[Crop]],Input_Scenario,12,FALSE)*HLOOKUP(Bird_Chronic[[#This Row],[Crop]],Input_Scenario,8,FALSE)*Bird_Chronic[[#This Row],[SVm]],""),"")</f>
        <v/>
      </c>
      <c r="L86" s="370" t="str">
        <f>IFERROR(IF(ISNUMBER(INDEX(Active[B_NOAEL], 2)),
                          INDEX(Active[B_NOAEL], 2)/K86,""),"")</f>
        <v/>
      </c>
      <c r="M86" s="370" t="str">
        <f>IFERROR(IF(Active3=TRUE,HLOOKUP(Bird_Chronic[[#This Row],[Crop]],Input_Scenario,12,FALSE)*HLOOKUP(Bird_Chronic[[#This Row],[Crop]],Input_Scenario,8,FALSE)*Bird_Chronic[[#This Row],[SVm]],""),"")</f>
        <v/>
      </c>
      <c r="N86" s="370" t="str">
        <f>IFERROR(IF(ISNUMBER(INDEX(Active[B_NOAEL], 3)),
                          INDEX(Active[B_NOAEL], 3)/M86,""),"")</f>
        <v/>
      </c>
      <c r="O86" s="370" t="str">
        <f>IFERROR(IF(Active4=TRUE,HLOOKUP(Bird_Chronic[[#This Row],[Crop]],Input_Scenario,13,FALSE)*HLOOKUP(Bird_Chronic[[#This Row],[Crop]],Input_Scenario,8,FALSE)*Bird_Chronic[[#This Row],[SVm]],""),"")</f>
        <v/>
      </c>
      <c r="P86" s="370" t="str">
        <f>IFERROR(IF(ISNUMBER(INDEX(Active[B_NOAEL], 4)),
                          INDEX(Active[B_NOAEL], 4)/O86,""),"")</f>
        <v/>
      </c>
      <c r="Q86" s="370" t="str">
        <f>IFERROR(IF(Active5=TRUE,HLOOKUP(Bird_Chronic[[#This Row],[Crop]],Input_Scenario,14,FALSE)*HLOOKUP(Bird_Chronic[[#This Row],[Crop]],Input_Scenario,8,FALSE)*Bird_Chronic[[#This Row],[SVm]],""),"")</f>
        <v/>
      </c>
      <c r="R86" s="370" t="str">
        <f>IFERROR(IF(ISNUMBER(INDEX(Active[B_NOAEL], 5)),
                          INDEX(Active[B_NOAEL], 5)/Q86,""),"")</f>
        <v/>
      </c>
      <c r="S86" s="204"/>
      <c r="T86" s="56"/>
      <c r="U86" s="56"/>
      <c r="V86" s="56"/>
      <c r="W86" s="56"/>
      <c r="X86" s="56"/>
      <c r="Y86" s="56"/>
      <c r="Z86" s="56"/>
      <c r="AA86" s="56"/>
      <c r="AB86" s="56"/>
      <c r="AC86" s="56"/>
      <c r="AD86" s="56"/>
      <c r="AE86" s="56"/>
      <c r="AF86" s="56"/>
      <c r="AG86" s="56"/>
      <c r="AH86" s="56"/>
    </row>
    <row r="87" spans="1:34" s="106" customFormat="1" ht="16.5" customHeight="1">
      <c r="A87" s="56"/>
      <c r="B87" s="314" t="str">
        <f t="shared" ca="1" si="1"/>
        <v>No input</v>
      </c>
      <c r="C87" s="72" t="s">
        <v>154</v>
      </c>
      <c r="D87" s="73" t="s">
        <v>149</v>
      </c>
      <c r="E87" s="73" t="s">
        <v>225</v>
      </c>
      <c r="F87" s="113">
        <v>5.7</v>
      </c>
      <c r="G87" s="203" t="str">
        <f ca="1">IF(AND(Bird_Chronic[[#This Row],[Relevance]]="Input provided", Count&gt;=1),
       IF(B_ChronicScheme="C(mix)",
                 HLOOKUP(Bird_Chronic[[#This Row],[Crop]], Input_Scenario,10,FALSE)*Bird_Chronic[[#This Row],[SVm]]*HLOOKUP(Bird_Chronic[[#This Row],[Crop]],Input_Scenario,8,FALSE),""),"")</f>
        <v/>
      </c>
      <c r="H87" s="368" t="str">
        <f>IF(Count&gt;=1,
       IF(AND(B_ChronicScheme ="C(mix)", ISNUMBER(G87)), (B_NOAEL_form/G87),
       IF(AND(B_ChronicScheme = "HIsum", Count &gt; 1),
            IF(ISNUMBER(J87), IF(ISNUMBER(J87), 5/J87, 0) + IF(ISNUMBER(L87), 5/L87, 0) + IF(ISNUMBER(N87), 5/N87, 0) + IF(ISNUMBER(P87), 5/P87, 0) + IF(ISNUMBER(R87), 5/R87, 0),""), "")),"")</f>
        <v/>
      </c>
      <c r="I87" s="370" t="str">
        <f>IFERROR(IF(Active1=TRUE,HLOOKUP(Bird_Chronic[[#This Row],[Crop]],Input_Scenario,11,FALSE)*HLOOKUP(Bird_Chronic[[#This Row],[Crop]],Input_Scenario,8,FALSE)*Bird_Chronic[[#This Row],[SVm]],""),"")</f>
        <v/>
      </c>
      <c r="J87" s="370" t="str">
        <f>IFERROR(IF(ISNUMBER(INDEX(Active[B_NOAEL], 1)),
                          INDEX(Active[B_NOAEL], 1)/I87,""),"")</f>
        <v/>
      </c>
      <c r="K87" s="370" t="str">
        <f>IFERROR(IF(Active2=TRUE,HLOOKUP(Bird_Chronic[[#This Row],[Crop]],Input_Scenario,12,FALSE)*HLOOKUP(Bird_Chronic[[#This Row],[Crop]],Input_Scenario,8,FALSE)*Bird_Chronic[[#This Row],[SVm]],""),"")</f>
        <v/>
      </c>
      <c r="L87" s="370" t="str">
        <f>IFERROR(IF(ISNUMBER(INDEX(Active[B_NOAEL], 2)),
                          INDEX(Active[B_NOAEL], 2)/K87,""),"")</f>
        <v/>
      </c>
      <c r="M87" s="370" t="str">
        <f>IFERROR(IF(Active3=TRUE,HLOOKUP(Bird_Chronic[[#This Row],[Crop]],Input_Scenario,12,FALSE)*HLOOKUP(Bird_Chronic[[#This Row],[Crop]],Input_Scenario,8,FALSE)*Bird_Chronic[[#This Row],[SVm]],""),"")</f>
        <v/>
      </c>
      <c r="N87" s="370" t="str">
        <f>IFERROR(IF(ISNUMBER(INDEX(Active[B_NOAEL], 3)),
                          INDEX(Active[B_NOAEL], 3)/M87,""),"")</f>
        <v/>
      </c>
      <c r="O87" s="370" t="str">
        <f>IFERROR(IF(Active4=TRUE,HLOOKUP(Bird_Chronic[[#This Row],[Crop]],Input_Scenario,13,FALSE)*HLOOKUP(Bird_Chronic[[#This Row],[Crop]],Input_Scenario,8,FALSE)*Bird_Chronic[[#This Row],[SVm]],""),"")</f>
        <v/>
      </c>
      <c r="P87" s="370" t="str">
        <f>IFERROR(IF(ISNUMBER(INDEX(Active[B_NOAEL], 4)),
                          INDEX(Active[B_NOAEL], 4)/O87,""),"")</f>
        <v/>
      </c>
      <c r="Q87" s="370" t="str">
        <f>IFERROR(IF(Active5=TRUE,HLOOKUP(Bird_Chronic[[#This Row],[Crop]],Input_Scenario,14,FALSE)*HLOOKUP(Bird_Chronic[[#This Row],[Crop]],Input_Scenario,8,FALSE)*Bird_Chronic[[#This Row],[SVm]],""),"")</f>
        <v/>
      </c>
      <c r="R87" s="370" t="str">
        <f>IFERROR(IF(ISNUMBER(INDEX(Active[B_NOAEL], 5)),
                          INDEX(Active[B_NOAEL], 5)/Q87,""),"")</f>
        <v/>
      </c>
      <c r="S87" s="204"/>
      <c r="T87" s="56"/>
      <c r="U87" s="56"/>
      <c r="V87" s="56"/>
      <c r="W87" s="56"/>
      <c r="X87" s="56"/>
      <c r="Y87" s="56"/>
      <c r="Z87" s="56"/>
      <c r="AA87" s="56"/>
      <c r="AB87" s="56"/>
      <c r="AC87" s="56"/>
      <c r="AD87" s="56"/>
      <c r="AE87" s="56"/>
      <c r="AF87" s="56"/>
      <c r="AG87" s="56"/>
      <c r="AH87" s="56"/>
    </row>
    <row r="88" spans="1:34" s="106" customFormat="1" ht="16.5" customHeight="1">
      <c r="A88" s="56"/>
      <c r="B88" s="314" t="str">
        <f t="shared" ca="1" si="1"/>
        <v>No input</v>
      </c>
      <c r="C88" s="72" t="s">
        <v>154</v>
      </c>
      <c r="D88" s="73" t="s">
        <v>119</v>
      </c>
      <c r="E88" s="73" t="s">
        <v>210</v>
      </c>
      <c r="F88" s="113">
        <v>10.9</v>
      </c>
      <c r="G88" s="203" t="str">
        <f ca="1">IF(AND(Bird_Chronic[[#This Row],[Relevance]]="Input provided", Count&gt;=1),
       IF(B_ChronicScheme="C(mix)",
                 HLOOKUP(Bird_Chronic[[#This Row],[Crop]], Input_Scenario,10,FALSE)*Bird_Chronic[[#This Row],[SVm]]*HLOOKUP(Bird_Chronic[[#This Row],[Crop]],Input_Scenario,8,FALSE),""),"")</f>
        <v/>
      </c>
      <c r="H88" s="368" t="str">
        <f>IF(Count&gt;=1,
       IF(AND(B_ChronicScheme ="C(mix)", ISNUMBER(G88)), (B_NOAEL_form/G88),
       IF(AND(B_ChronicScheme = "HIsum", Count &gt; 1),
            IF(ISNUMBER(J88), IF(ISNUMBER(J88), 5/J88, 0) + IF(ISNUMBER(L88), 5/L88, 0) + IF(ISNUMBER(N88), 5/N88, 0) + IF(ISNUMBER(P88), 5/P88, 0) + IF(ISNUMBER(R88), 5/R88, 0),""), "")),"")</f>
        <v/>
      </c>
      <c r="I88" s="370" t="str">
        <f>IFERROR(IF(Active1=TRUE,HLOOKUP(Bird_Chronic[[#This Row],[Crop]],Input_Scenario,11,FALSE)*HLOOKUP(Bird_Chronic[[#This Row],[Crop]],Input_Scenario,8,FALSE)*Bird_Chronic[[#This Row],[SVm]],""),"")</f>
        <v/>
      </c>
      <c r="J88" s="370" t="str">
        <f>IFERROR(IF(ISNUMBER(INDEX(Active[B_NOAEL], 1)),
                          INDEX(Active[B_NOAEL], 1)/I88,""),"")</f>
        <v/>
      </c>
      <c r="K88" s="370" t="str">
        <f>IFERROR(IF(Active2=TRUE,HLOOKUP(Bird_Chronic[[#This Row],[Crop]],Input_Scenario,12,FALSE)*HLOOKUP(Bird_Chronic[[#This Row],[Crop]],Input_Scenario,8,FALSE)*Bird_Chronic[[#This Row],[SVm]],""),"")</f>
        <v/>
      </c>
      <c r="L88" s="370" t="str">
        <f>IFERROR(IF(ISNUMBER(INDEX(Active[B_NOAEL], 2)),
                          INDEX(Active[B_NOAEL], 2)/K88,""),"")</f>
        <v/>
      </c>
      <c r="M88" s="370" t="str">
        <f>IFERROR(IF(Active3=TRUE,HLOOKUP(Bird_Chronic[[#This Row],[Crop]],Input_Scenario,12,FALSE)*HLOOKUP(Bird_Chronic[[#This Row],[Crop]],Input_Scenario,8,FALSE)*Bird_Chronic[[#This Row],[SVm]],""),"")</f>
        <v/>
      </c>
      <c r="N88" s="370" t="str">
        <f>IFERROR(IF(ISNUMBER(INDEX(Active[B_NOAEL], 3)),
                          INDEX(Active[B_NOAEL], 3)/M88,""),"")</f>
        <v/>
      </c>
      <c r="O88" s="370" t="str">
        <f>IFERROR(IF(Active4=TRUE,HLOOKUP(Bird_Chronic[[#This Row],[Crop]],Input_Scenario,13,FALSE)*HLOOKUP(Bird_Chronic[[#This Row],[Crop]],Input_Scenario,8,FALSE)*Bird_Chronic[[#This Row],[SVm]],""),"")</f>
        <v/>
      </c>
      <c r="P88" s="370" t="str">
        <f>IFERROR(IF(ISNUMBER(INDEX(Active[B_NOAEL], 4)),
                          INDEX(Active[B_NOAEL], 4)/O88,""),"")</f>
        <v/>
      </c>
      <c r="Q88" s="370" t="str">
        <f>IFERROR(IF(Active5=TRUE,HLOOKUP(Bird_Chronic[[#This Row],[Crop]],Input_Scenario,14,FALSE)*HLOOKUP(Bird_Chronic[[#This Row],[Crop]],Input_Scenario,8,FALSE)*Bird_Chronic[[#This Row],[SVm]],""),"")</f>
        <v/>
      </c>
      <c r="R88" s="370" t="str">
        <f>IFERROR(IF(ISNUMBER(INDEX(Active[B_NOAEL], 5)),
                          INDEX(Active[B_NOAEL], 5)/Q88,""),"")</f>
        <v/>
      </c>
      <c r="S88" s="204"/>
      <c r="T88" s="56"/>
      <c r="U88" s="56"/>
      <c r="V88" s="56"/>
      <c r="W88" s="56"/>
      <c r="X88" s="56"/>
      <c r="Y88" s="56"/>
      <c r="Z88" s="56"/>
      <c r="AA88" s="56"/>
      <c r="AB88" s="56"/>
      <c r="AC88" s="56"/>
      <c r="AD88" s="56"/>
      <c r="AE88" s="56"/>
      <c r="AF88" s="56"/>
      <c r="AG88" s="56"/>
      <c r="AH88" s="56"/>
    </row>
    <row r="89" spans="1:34" s="106" customFormat="1" ht="16.5" customHeight="1">
      <c r="A89" s="56"/>
      <c r="B89" s="314" t="str">
        <f t="shared" ca="1" si="1"/>
        <v>No input</v>
      </c>
      <c r="C89" s="72" t="s">
        <v>154</v>
      </c>
      <c r="D89" s="73" t="s">
        <v>123</v>
      </c>
      <c r="E89" s="73" t="s">
        <v>210</v>
      </c>
      <c r="F89" s="113">
        <v>5.4</v>
      </c>
      <c r="G89" s="203" t="str">
        <f ca="1">IF(AND(Bird_Chronic[[#This Row],[Relevance]]="Input provided", Count&gt;=1),
       IF(B_ChronicScheme="C(mix)",
                 HLOOKUP(Bird_Chronic[[#This Row],[Crop]], Input_Scenario,10,FALSE)*Bird_Chronic[[#This Row],[SVm]]*HLOOKUP(Bird_Chronic[[#This Row],[Crop]],Input_Scenario,8,FALSE),""),"")</f>
        <v/>
      </c>
      <c r="H89" s="368" t="str">
        <f>IF(Count&gt;=1,
       IF(AND(B_ChronicScheme ="C(mix)", ISNUMBER(G89)), (B_NOAEL_form/G89),
       IF(AND(B_ChronicScheme = "HIsum", Count &gt; 1),
            IF(ISNUMBER(J89), IF(ISNUMBER(J89), 5/J89, 0) + IF(ISNUMBER(L89), 5/L89, 0) + IF(ISNUMBER(N89), 5/N89, 0) + IF(ISNUMBER(P89), 5/P89, 0) + IF(ISNUMBER(R89), 5/R89, 0),""), "")),"")</f>
        <v/>
      </c>
      <c r="I89" s="370" t="str">
        <f>IFERROR(IF(Active1=TRUE,HLOOKUP(Bird_Chronic[[#This Row],[Crop]],Input_Scenario,11,FALSE)*HLOOKUP(Bird_Chronic[[#This Row],[Crop]],Input_Scenario,8,FALSE)*Bird_Chronic[[#This Row],[SVm]],""),"")</f>
        <v/>
      </c>
      <c r="J89" s="370" t="str">
        <f>IFERROR(IF(ISNUMBER(INDEX(Active[B_NOAEL], 1)),
                          INDEX(Active[B_NOAEL], 1)/I89,""),"")</f>
        <v/>
      </c>
      <c r="K89" s="370" t="str">
        <f>IFERROR(IF(Active2=TRUE,HLOOKUP(Bird_Chronic[[#This Row],[Crop]],Input_Scenario,12,FALSE)*HLOOKUP(Bird_Chronic[[#This Row],[Crop]],Input_Scenario,8,FALSE)*Bird_Chronic[[#This Row],[SVm]],""),"")</f>
        <v/>
      </c>
      <c r="L89" s="370" t="str">
        <f>IFERROR(IF(ISNUMBER(INDEX(Active[B_NOAEL], 2)),
                          INDEX(Active[B_NOAEL], 2)/K89,""),"")</f>
        <v/>
      </c>
      <c r="M89" s="370" t="str">
        <f>IFERROR(IF(Active3=TRUE,HLOOKUP(Bird_Chronic[[#This Row],[Crop]],Input_Scenario,12,FALSE)*HLOOKUP(Bird_Chronic[[#This Row],[Crop]],Input_Scenario,8,FALSE)*Bird_Chronic[[#This Row],[SVm]],""),"")</f>
        <v/>
      </c>
      <c r="N89" s="370" t="str">
        <f>IFERROR(IF(ISNUMBER(INDEX(Active[B_NOAEL], 3)),
                          INDEX(Active[B_NOAEL], 3)/M89,""),"")</f>
        <v/>
      </c>
      <c r="O89" s="370" t="str">
        <f>IFERROR(IF(Active4=TRUE,HLOOKUP(Bird_Chronic[[#This Row],[Crop]],Input_Scenario,13,FALSE)*HLOOKUP(Bird_Chronic[[#This Row],[Crop]],Input_Scenario,8,FALSE)*Bird_Chronic[[#This Row],[SVm]],""),"")</f>
        <v/>
      </c>
      <c r="P89" s="370" t="str">
        <f>IFERROR(IF(ISNUMBER(INDEX(Active[B_NOAEL], 4)),
                          INDEX(Active[B_NOAEL], 4)/O89,""),"")</f>
        <v/>
      </c>
      <c r="Q89" s="370" t="str">
        <f>IFERROR(IF(Active5=TRUE,HLOOKUP(Bird_Chronic[[#This Row],[Crop]],Input_Scenario,14,FALSE)*HLOOKUP(Bird_Chronic[[#This Row],[Crop]],Input_Scenario,8,FALSE)*Bird_Chronic[[#This Row],[SVm]],""),"")</f>
        <v/>
      </c>
      <c r="R89" s="370" t="str">
        <f>IFERROR(IF(ISNUMBER(INDEX(Active[B_NOAEL], 5)),
                          INDEX(Active[B_NOAEL], 5)/Q89,""),"")</f>
        <v/>
      </c>
      <c r="S89" s="204"/>
      <c r="T89" s="56"/>
      <c r="U89" s="56"/>
      <c r="V89" s="56"/>
      <c r="W89" s="56"/>
      <c r="X89" s="56"/>
      <c r="Y89" s="56"/>
      <c r="Z89" s="56"/>
      <c r="AA89" s="56"/>
      <c r="AB89" s="56"/>
      <c r="AC89" s="56"/>
      <c r="AD89" s="56"/>
      <c r="AE89" s="56"/>
      <c r="AF89" s="56"/>
      <c r="AG89" s="56"/>
      <c r="AH89" s="56"/>
    </row>
    <row r="90" spans="1:34" s="106" customFormat="1" ht="16.5" customHeight="1">
      <c r="A90" s="56"/>
      <c r="B90" s="314" t="str">
        <f t="shared" ca="1" si="1"/>
        <v>No input</v>
      </c>
      <c r="C90" s="72" t="s">
        <v>154</v>
      </c>
      <c r="D90" s="73" t="s">
        <v>123</v>
      </c>
      <c r="E90" s="73" t="s">
        <v>224</v>
      </c>
      <c r="F90" s="113">
        <v>1.5</v>
      </c>
      <c r="G90" s="203" t="str">
        <f ca="1">IF(AND(Bird_Chronic[[#This Row],[Relevance]]="Input provided", Count&gt;=1),
       IF(B_ChronicScheme="C(mix)",
                 HLOOKUP(Bird_Chronic[[#This Row],[Crop]], Input_Scenario,10,FALSE)*Bird_Chronic[[#This Row],[SVm]]*HLOOKUP(Bird_Chronic[[#This Row],[Crop]],Input_Scenario,8,FALSE),""),"")</f>
        <v/>
      </c>
      <c r="H90" s="368" t="str">
        <f>IF(Count&gt;=1,
       IF(AND(B_ChronicScheme ="C(mix)", ISNUMBER(G90)), (B_NOAEL_form/G90),
       IF(AND(B_ChronicScheme = "HIsum", Count &gt; 1),
            IF(ISNUMBER(J90), IF(ISNUMBER(J90), 5/J90, 0) + IF(ISNUMBER(L90), 5/L90, 0) + IF(ISNUMBER(N90), 5/N90, 0) + IF(ISNUMBER(P90), 5/P90, 0) + IF(ISNUMBER(R90), 5/R90, 0),""), "")),"")</f>
        <v/>
      </c>
      <c r="I90" s="370" t="str">
        <f>IFERROR(IF(Active1=TRUE,HLOOKUP(Bird_Chronic[[#This Row],[Crop]],Input_Scenario,11,FALSE)*HLOOKUP(Bird_Chronic[[#This Row],[Crop]],Input_Scenario,8,FALSE)*Bird_Chronic[[#This Row],[SVm]],""),"")</f>
        <v/>
      </c>
      <c r="J90" s="370" t="str">
        <f>IFERROR(IF(ISNUMBER(INDEX(Active[B_NOAEL], 1)),
                          INDEX(Active[B_NOAEL], 1)/I90,""),"")</f>
        <v/>
      </c>
      <c r="K90" s="370" t="str">
        <f>IFERROR(IF(Active2=TRUE,HLOOKUP(Bird_Chronic[[#This Row],[Crop]],Input_Scenario,12,FALSE)*HLOOKUP(Bird_Chronic[[#This Row],[Crop]],Input_Scenario,8,FALSE)*Bird_Chronic[[#This Row],[SVm]],""),"")</f>
        <v/>
      </c>
      <c r="L90" s="370" t="str">
        <f>IFERROR(IF(ISNUMBER(INDEX(Active[B_NOAEL], 2)),
                          INDEX(Active[B_NOAEL], 2)/K90,""),"")</f>
        <v/>
      </c>
      <c r="M90" s="370" t="str">
        <f>IFERROR(IF(Active3=TRUE,HLOOKUP(Bird_Chronic[[#This Row],[Crop]],Input_Scenario,12,FALSE)*HLOOKUP(Bird_Chronic[[#This Row],[Crop]],Input_Scenario,8,FALSE)*Bird_Chronic[[#This Row],[SVm]],""),"")</f>
        <v/>
      </c>
      <c r="N90" s="370" t="str">
        <f>IFERROR(IF(ISNUMBER(INDEX(Active[B_NOAEL], 3)),
                          INDEX(Active[B_NOAEL], 3)/M90,""),"")</f>
        <v/>
      </c>
      <c r="O90" s="370" t="str">
        <f>IFERROR(IF(Active4=TRUE,HLOOKUP(Bird_Chronic[[#This Row],[Crop]],Input_Scenario,13,FALSE)*HLOOKUP(Bird_Chronic[[#This Row],[Crop]],Input_Scenario,8,FALSE)*Bird_Chronic[[#This Row],[SVm]],""),"")</f>
        <v/>
      </c>
      <c r="P90" s="370" t="str">
        <f>IFERROR(IF(ISNUMBER(INDEX(Active[B_NOAEL], 4)),
                          INDEX(Active[B_NOAEL], 4)/O90,""),"")</f>
        <v/>
      </c>
      <c r="Q90" s="370" t="str">
        <f>IFERROR(IF(Active5=TRUE,HLOOKUP(Bird_Chronic[[#This Row],[Crop]],Input_Scenario,14,FALSE)*HLOOKUP(Bird_Chronic[[#This Row],[Crop]],Input_Scenario,8,FALSE)*Bird_Chronic[[#This Row],[SVm]],""),"")</f>
        <v/>
      </c>
      <c r="R90" s="370" t="str">
        <f>IFERROR(IF(ISNUMBER(INDEX(Active[B_NOAEL], 5)),
                          INDEX(Active[B_NOAEL], 5)/Q90,""),"")</f>
        <v/>
      </c>
      <c r="S90" s="204"/>
      <c r="T90" s="56"/>
      <c r="U90" s="56"/>
      <c r="V90" s="56"/>
      <c r="W90" s="56"/>
      <c r="X90" s="56"/>
      <c r="Y90" s="56"/>
      <c r="Z90" s="56"/>
      <c r="AA90" s="56"/>
      <c r="AB90" s="56"/>
      <c r="AC90" s="56"/>
      <c r="AD90" s="56"/>
      <c r="AE90" s="56"/>
      <c r="AF90" s="56"/>
      <c r="AG90" s="56"/>
      <c r="AH90" s="56"/>
    </row>
    <row r="91" spans="1:34" s="106" customFormat="1" ht="16.5" customHeight="1">
      <c r="A91" s="56"/>
      <c r="B91" s="314" t="str">
        <f t="shared" ca="1" si="1"/>
        <v>No input</v>
      </c>
      <c r="C91" s="72" t="s">
        <v>154</v>
      </c>
      <c r="D91" s="73" t="s">
        <v>119</v>
      </c>
      <c r="E91" s="73" t="s">
        <v>223</v>
      </c>
      <c r="F91" s="113">
        <v>22.7</v>
      </c>
      <c r="G91" s="203" t="str">
        <f ca="1">IF(AND(Bird_Chronic[[#This Row],[Relevance]]="Input provided", Count&gt;=1),
       IF(B_ChronicScheme="C(mix)",
                 HLOOKUP(Bird_Chronic[[#This Row],[Crop]], Input_Scenario,10,FALSE)*Bird_Chronic[[#This Row],[SVm]]*HLOOKUP(Bird_Chronic[[#This Row],[Crop]],Input_Scenario,8,FALSE),""),"")</f>
        <v/>
      </c>
      <c r="H91" s="368" t="str">
        <f>IF(Count&gt;=1,
       IF(AND(B_ChronicScheme ="C(mix)", ISNUMBER(G91)), (B_NOAEL_form/G91),
       IF(AND(B_ChronicScheme = "HIsum", Count &gt; 1),
            IF(ISNUMBER(J91), IF(ISNUMBER(J91), 5/J91, 0) + IF(ISNUMBER(L91), 5/L91, 0) + IF(ISNUMBER(N91), 5/N91, 0) + IF(ISNUMBER(P91), 5/P91, 0) + IF(ISNUMBER(R91), 5/R91, 0),""), "")),"")</f>
        <v/>
      </c>
      <c r="I91" s="370" t="str">
        <f>IFERROR(IF(Active1=TRUE,HLOOKUP(Bird_Chronic[[#This Row],[Crop]],Input_Scenario,11,FALSE)*HLOOKUP(Bird_Chronic[[#This Row],[Crop]],Input_Scenario,8,FALSE)*Bird_Chronic[[#This Row],[SVm]],""),"")</f>
        <v/>
      </c>
      <c r="J91" s="370" t="str">
        <f>IFERROR(IF(ISNUMBER(INDEX(Active[B_NOAEL], 1)),
                          INDEX(Active[B_NOAEL], 1)/I91,""),"")</f>
        <v/>
      </c>
      <c r="K91" s="370" t="str">
        <f>IFERROR(IF(Active2=TRUE,HLOOKUP(Bird_Chronic[[#This Row],[Crop]],Input_Scenario,12,FALSE)*HLOOKUP(Bird_Chronic[[#This Row],[Crop]],Input_Scenario,8,FALSE)*Bird_Chronic[[#This Row],[SVm]],""),"")</f>
        <v/>
      </c>
      <c r="L91" s="370" t="str">
        <f>IFERROR(IF(ISNUMBER(INDEX(Active[B_NOAEL], 2)),
                          INDEX(Active[B_NOAEL], 2)/K91,""),"")</f>
        <v/>
      </c>
      <c r="M91" s="370" t="str">
        <f>IFERROR(IF(Active3=TRUE,HLOOKUP(Bird_Chronic[[#This Row],[Crop]],Input_Scenario,12,FALSE)*HLOOKUP(Bird_Chronic[[#This Row],[Crop]],Input_Scenario,8,FALSE)*Bird_Chronic[[#This Row],[SVm]],""),"")</f>
        <v/>
      </c>
      <c r="N91" s="370" t="str">
        <f>IFERROR(IF(ISNUMBER(INDEX(Active[B_NOAEL], 3)),
                          INDEX(Active[B_NOAEL], 3)/M91,""),"")</f>
        <v/>
      </c>
      <c r="O91" s="370" t="str">
        <f>IFERROR(IF(Active4=TRUE,HLOOKUP(Bird_Chronic[[#This Row],[Crop]],Input_Scenario,13,FALSE)*HLOOKUP(Bird_Chronic[[#This Row],[Crop]],Input_Scenario,8,FALSE)*Bird_Chronic[[#This Row],[SVm]],""),"")</f>
        <v/>
      </c>
      <c r="P91" s="370" t="str">
        <f>IFERROR(IF(ISNUMBER(INDEX(Active[B_NOAEL], 4)),
                          INDEX(Active[B_NOAEL], 4)/O91,""),"")</f>
        <v/>
      </c>
      <c r="Q91" s="370" t="str">
        <f>IFERROR(IF(Active5=TRUE,HLOOKUP(Bird_Chronic[[#This Row],[Crop]],Input_Scenario,14,FALSE)*HLOOKUP(Bird_Chronic[[#This Row],[Crop]],Input_Scenario,8,FALSE)*Bird_Chronic[[#This Row],[SVm]],""),"")</f>
        <v/>
      </c>
      <c r="R91" s="370" t="str">
        <f>IFERROR(IF(ISNUMBER(INDEX(Active[B_NOAEL], 5)),
                          INDEX(Active[B_NOAEL], 5)/Q91,""),"")</f>
        <v/>
      </c>
      <c r="S91" s="204"/>
      <c r="T91" s="56"/>
      <c r="U91" s="56"/>
      <c r="V91" s="56"/>
      <c r="W91" s="56"/>
      <c r="X91" s="56"/>
      <c r="Y91" s="56"/>
      <c r="Z91" s="56"/>
      <c r="AA91" s="56"/>
      <c r="AB91" s="56"/>
      <c r="AC91" s="56"/>
      <c r="AD91" s="56"/>
      <c r="AE91" s="56"/>
      <c r="AF91" s="56"/>
      <c r="AG91" s="56"/>
      <c r="AH91" s="56"/>
    </row>
    <row r="92" spans="1:34" s="106" customFormat="1" ht="16.5" customHeight="1">
      <c r="A92" s="56"/>
      <c r="B92" s="314" t="str">
        <f t="shared" ca="1" si="1"/>
        <v>No input</v>
      </c>
      <c r="C92" s="72" t="s">
        <v>154</v>
      </c>
      <c r="D92" s="73" t="s">
        <v>159</v>
      </c>
      <c r="E92" s="73" t="s">
        <v>213</v>
      </c>
      <c r="F92" s="113">
        <v>20.3</v>
      </c>
      <c r="G92" s="203" t="str">
        <f ca="1">IF(AND(Bird_Chronic[[#This Row],[Relevance]]="Input provided", Count&gt;=1),
       IF(B_ChronicScheme="C(mix)",
                 HLOOKUP(Bird_Chronic[[#This Row],[Crop]], Input_Scenario,10,FALSE)*Bird_Chronic[[#This Row],[SVm]]*HLOOKUP(Bird_Chronic[[#This Row],[Crop]],Input_Scenario,8,FALSE),""),"")</f>
        <v/>
      </c>
      <c r="H92" s="368" t="str">
        <f>IF(Count&gt;=1,
       IF(AND(B_ChronicScheme ="C(mix)", ISNUMBER(G92)), (B_NOAEL_form/G92),
       IF(AND(B_ChronicScheme = "HIsum", Count &gt; 1),
            IF(ISNUMBER(J92), IF(ISNUMBER(J92), 5/J92, 0) + IF(ISNUMBER(L92), 5/L92, 0) + IF(ISNUMBER(N92), 5/N92, 0) + IF(ISNUMBER(P92), 5/P92, 0) + IF(ISNUMBER(R92), 5/R92, 0),""), "")),"")</f>
        <v/>
      </c>
      <c r="I92" s="370" t="str">
        <f>IFERROR(IF(Active1=TRUE,HLOOKUP(Bird_Chronic[[#This Row],[Crop]],Input_Scenario,11,FALSE)*HLOOKUP(Bird_Chronic[[#This Row],[Crop]],Input_Scenario,8,FALSE)*Bird_Chronic[[#This Row],[SVm]],""),"")</f>
        <v/>
      </c>
      <c r="J92" s="370" t="str">
        <f>IFERROR(IF(ISNUMBER(INDEX(Active[B_NOAEL], 1)),
                          INDEX(Active[B_NOAEL], 1)/I92,""),"")</f>
        <v/>
      </c>
      <c r="K92" s="370" t="str">
        <f>IFERROR(IF(Active2=TRUE,HLOOKUP(Bird_Chronic[[#This Row],[Crop]],Input_Scenario,12,FALSE)*HLOOKUP(Bird_Chronic[[#This Row],[Crop]],Input_Scenario,8,FALSE)*Bird_Chronic[[#This Row],[SVm]],""),"")</f>
        <v/>
      </c>
      <c r="L92" s="370" t="str">
        <f>IFERROR(IF(ISNUMBER(INDEX(Active[B_NOAEL], 2)),
                          INDEX(Active[B_NOAEL], 2)/K92,""),"")</f>
        <v/>
      </c>
      <c r="M92" s="370" t="str">
        <f>IFERROR(IF(Active3=TRUE,HLOOKUP(Bird_Chronic[[#This Row],[Crop]],Input_Scenario,12,FALSE)*HLOOKUP(Bird_Chronic[[#This Row],[Crop]],Input_Scenario,8,FALSE)*Bird_Chronic[[#This Row],[SVm]],""),"")</f>
        <v/>
      </c>
      <c r="N92" s="370" t="str">
        <f>IFERROR(IF(ISNUMBER(INDEX(Active[B_NOAEL], 3)),
                          INDEX(Active[B_NOAEL], 3)/M92,""),"")</f>
        <v/>
      </c>
      <c r="O92" s="370" t="str">
        <f>IFERROR(IF(Active4=TRUE,HLOOKUP(Bird_Chronic[[#This Row],[Crop]],Input_Scenario,13,FALSE)*HLOOKUP(Bird_Chronic[[#This Row],[Crop]],Input_Scenario,8,FALSE)*Bird_Chronic[[#This Row],[SVm]],""),"")</f>
        <v/>
      </c>
      <c r="P92" s="370" t="str">
        <f>IFERROR(IF(ISNUMBER(INDEX(Active[B_NOAEL], 4)),
                          INDEX(Active[B_NOAEL], 4)/O92,""),"")</f>
        <v/>
      </c>
      <c r="Q92" s="370" t="str">
        <f>IFERROR(IF(Active5=TRUE,HLOOKUP(Bird_Chronic[[#This Row],[Crop]],Input_Scenario,14,FALSE)*HLOOKUP(Bird_Chronic[[#This Row],[Crop]],Input_Scenario,8,FALSE)*Bird_Chronic[[#This Row],[SVm]],""),"")</f>
        <v/>
      </c>
      <c r="R92" s="370" t="str">
        <f>IFERROR(IF(ISNUMBER(INDEX(Active[B_NOAEL], 5)),
                          INDEX(Active[B_NOAEL], 5)/Q92,""),"")</f>
        <v/>
      </c>
      <c r="S92" s="204"/>
      <c r="T92" s="56"/>
      <c r="U92" s="56"/>
      <c r="V92" s="56"/>
      <c r="W92" s="56"/>
      <c r="X92" s="56"/>
      <c r="Y92" s="56"/>
      <c r="Z92" s="56"/>
      <c r="AA92" s="56"/>
      <c r="AB92" s="56"/>
      <c r="AC92" s="56"/>
      <c r="AD92" s="56"/>
      <c r="AE92" s="56"/>
      <c r="AF92" s="56"/>
      <c r="AG92" s="56"/>
      <c r="AH92" s="56"/>
    </row>
    <row r="93" spans="1:34" s="106" customFormat="1" ht="16.5" customHeight="1">
      <c r="A93" s="56"/>
      <c r="B93" s="314" t="str">
        <f t="shared" ca="1" si="1"/>
        <v>No input</v>
      </c>
      <c r="C93" s="72" t="s">
        <v>154</v>
      </c>
      <c r="D93" s="73" t="s">
        <v>123</v>
      </c>
      <c r="E93" s="73" t="s">
        <v>223</v>
      </c>
      <c r="F93" s="113">
        <v>11.4</v>
      </c>
      <c r="G93" s="203" t="str">
        <f ca="1">IF(AND(Bird_Chronic[[#This Row],[Relevance]]="Input provided", Count&gt;=1),
       IF(B_ChronicScheme="C(mix)",
                 HLOOKUP(Bird_Chronic[[#This Row],[Crop]], Input_Scenario,10,FALSE)*Bird_Chronic[[#This Row],[SVm]]*HLOOKUP(Bird_Chronic[[#This Row],[Crop]],Input_Scenario,8,FALSE),""),"")</f>
        <v/>
      </c>
      <c r="H93" s="368" t="str">
        <f>IF(Count&gt;=1,
       IF(AND(B_ChronicScheme ="C(mix)", ISNUMBER(G93)), (B_NOAEL_form/G93),
       IF(AND(B_ChronicScheme = "HIsum", Count &gt; 1),
            IF(ISNUMBER(J93), IF(ISNUMBER(J93), 5/J93, 0) + IF(ISNUMBER(L93), 5/L93, 0) + IF(ISNUMBER(N93), 5/N93, 0) + IF(ISNUMBER(P93), 5/P93, 0) + IF(ISNUMBER(R93), 5/R93, 0),""), "")),"")</f>
        <v/>
      </c>
      <c r="I93" s="370" t="str">
        <f>IFERROR(IF(Active1=TRUE,HLOOKUP(Bird_Chronic[[#This Row],[Crop]],Input_Scenario,11,FALSE)*HLOOKUP(Bird_Chronic[[#This Row],[Crop]],Input_Scenario,8,FALSE)*Bird_Chronic[[#This Row],[SVm]],""),"")</f>
        <v/>
      </c>
      <c r="J93" s="370" t="str">
        <f>IFERROR(IF(ISNUMBER(INDEX(Active[B_NOAEL], 1)),
                          INDEX(Active[B_NOAEL], 1)/I93,""),"")</f>
        <v/>
      </c>
      <c r="K93" s="370" t="str">
        <f>IFERROR(IF(Active2=TRUE,HLOOKUP(Bird_Chronic[[#This Row],[Crop]],Input_Scenario,12,FALSE)*HLOOKUP(Bird_Chronic[[#This Row],[Crop]],Input_Scenario,8,FALSE)*Bird_Chronic[[#This Row],[SVm]],""),"")</f>
        <v/>
      </c>
      <c r="L93" s="370" t="str">
        <f>IFERROR(IF(ISNUMBER(INDEX(Active[B_NOAEL], 2)),
                          INDEX(Active[B_NOAEL], 2)/K93,""),"")</f>
        <v/>
      </c>
      <c r="M93" s="370" t="str">
        <f>IFERROR(IF(Active3=TRUE,HLOOKUP(Bird_Chronic[[#This Row],[Crop]],Input_Scenario,12,FALSE)*HLOOKUP(Bird_Chronic[[#This Row],[Crop]],Input_Scenario,8,FALSE)*Bird_Chronic[[#This Row],[SVm]],""),"")</f>
        <v/>
      </c>
      <c r="N93" s="370" t="str">
        <f>IFERROR(IF(ISNUMBER(INDEX(Active[B_NOAEL], 3)),
                          INDEX(Active[B_NOAEL], 3)/M93,""),"")</f>
        <v/>
      </c>
      <c r="O93" s="370" t="str">
        <f>IFERROR(IF(Active4=TRUE,HLOOKUP(Bird_Chronic[[#This Row],[Crop]],Input_Scenario,13,FALSE)*HLOOKUP(Bird_Chronic[[#This Row],[Crop]],Input_Scenario,8,FALSE)*Bird_Chronic[[#This Row],[SVm]],""),"")</f>
        <v/>
      </c>
      <c r="P93" s="370" t="str">
        <f>IFERROR(IF(ISNUMBER(INDEX(Active[B_NOAEL], 4)),
                          INDEX(Active[B_NOAEL], 4)/O93,""),"")</f>
        <v/>
      </c>
      <c r="Q93" s="370" t="str">
        <f>IFERROR(IF(Active5=TRUE,HLOOKUP(Bird_Chronic[[#This Row],[Crop]],Input_Scenario,14,FALSE)*HLOOKUP(Bird_Chronic[[#This Row],[Crop]],Input_Scenario,8,FALSE)*Bird_Chronic[[#This Row],[SVm]],""),"")</f>
        <v/>
      </c>
      <c r="R93" s="370" t="str">
        <f>IFERROR(IF(ISNUMBER(INDEX(Active[B_NOAEL], 5)),
                          INDEX(Active[B_NOAEL], 5)/Q93,""),"")</f>
        <v/>
      </c>
      <c r="S93" s="204"/>
      <c r="T93" s="56"/>
      <c r="U93" s="56"/>
      <c r="V93" s="56"/>
      <c r="W93" s="56"/>
      <c r="X93" s="56"/>
      <c r="Y93" s="56"/>
      <c r="Z93" s="56"/>
      <c r="AA93" s="56"/>
      <c r="AB93" s="56"/>
      <c r="AC93" s="56"/>
      <c r="AD93" s="56"/>
      <c r="AE93" s="56"/>
      <c r="AF93" s="56"/>
      <c r="AG93" s="56"/>
      <c r="AH93" s="56"/>
    </row>
    <row r="94" spans="1:34" s="106" customFormat="1" ht="16.5" customHeight="1">
      <c r="A94" s="56"/>
      <c r="B94" s="314" t="str">
        <f t="shared" ca="1" si="1"/>
        <v>No input</v>
      </c>
      <c r="C94" s="72" t="s">
        <v>154</v>
      </c>
      <c r="D94" s="73" t="s">
        <v>109</v>
      </c>
      <c r="E94" s="73" t="s">
        <v>223</v>
      </c>
      <c r="F94" s="113">
        <v>5.7</v>
      </c>
      <c r="G94" s="203" t="str">
        <f ca="1">IF(AND(Bird_Chronic[[#This Row],[Relevance]]="Input provided", Count&gt;=1),
       IF(B_ChronicScheme="C(mix)",
                 HLOOKUP(Bird_Chronic[[#This Row],[Crop]], Input_Scenario,10,FALSE)*Bird_Chronic[[#This Row],[SVm]]*HLOOKUP(Bird_Chronic[[#This Row],[Crop]],Input_Scenario,8,FALSE),""),"")</f>
        <v/>
      </c>
      <c r="H94" s="368" t="str">
        <f>IF(Count&gt;=1,
       IF(AND(B_ChronicScheme ="C(mix)", ISNUMBER(G94)), (B_NOAEL_form/G94),
       IF(AND(B_ChronicScheme = "HIsum", Count &gt; 1),
            IF(ISNUMBER(J94), IF(ISNUMBER(J94), 5/J94, 0) + IF(ISNUMBER(L94), 5/L94, 0) + IF(ISNUMBER(N94), 5/N94, 0) + IF(ISNUMBER(P94), 5/P94, 0) + IF(ISNUMBER(R94), 5/R94, 0),""), "")),"")</f>
        <v/>
      </c>
      <c r="I94" s="370" t="str">
        <f>IFERROR(IF(Active1=TRUE,HLOOKUP(Bird_Chronic[[#This Row],[Crop]],Input_Scenario,11,FALSE)*HLOOKUP(Bird_Chronic[[#This Row],[Crop]],Input_Scenario,8,FALSE)*Bird_Chronic[[#This Row],[SVm]],""),"")</f>
        <v/>
      </c>
      <c r="J94" s="370" t="str">
        <f>IFERROR(IF(ISNUMBER(INDEX(Active[B_NOAEL], 1)),
                          INDEX(Active[B_NOAEL], 1)/I94,""),"")</f>
        <v/>
      </c>
      <c r="K94" s="370" t="str">
        <f>IFERROR(IF(Active2=TRUE,HLOOKUP(Bird_Chronic[[#This Row],[Crop]],Input_Scenario,12,FALSE)*HLOOKUP(Bird_Chronic[[#This Row],[Crop]],Input_Scenario,8,FALSE)*Bird_Chronic[[#This Row],[SVm]],""),"")</f>
        <v/>
      </c>
      <c r="L94" s="370" t="str">
        <f>IFERROR(IF(ISNUMBER(INDEX(Active[B_NOAEL], 2)),
                          INDEX(Active[B_NOAEL], 2)/K94,""),"")</f>
        <v/>
      </c>
      <c r="M94" s="370" t="str">
        <f>IFERROR(IF(Active3=TRUE,HLOOKUP(Bird_Chronic[[#This Row],[Crop]],Input_Scenario,12,FALSE)*HLOOKUP(Bird_Chronic[[#This Row],[Crop]],Input_Scenario,8,FALSE)*Bird_Chronic[[#This Row],[SVm]],""),"")</f>
        <v/>
      </c>
      <c r="N94" s="370" t="str">
        <f>IFERROR(IF(ISNUMBER(INDEX(Active[B_NOAEL], 3)),
                          INDEX(Active[B_NOAEL], 3)/M94,""),"")</f>
        <v/>
      </c>
      <c r="O94" s="370" t="str">
        <f>IFERROR(IF(Active4=TRUE,HLOOKUP(Bird_Chronic[[#This Row],[Crop]],Input_Scenario,13,FALSE)*HLOOKUP(Bird_Chronic[[#This Row],[Crop]],Input_Scenario,8,FALSE)*Bird_Chronic[[#This Row],[SVm]],""),"")</f>
        <v/>
      </c>
      <c r="P94" s="370" t="str">
        <f>IFERROR(IF(ISNUMBER(INDEX(Active[B_NOAEL], 4)),
                          INDEX(Active[B_NOAEL], 4)/O94,""),"")</f>
        <v/>
      </c>
      <c r="Q94" s="370" t="str">
        <f>IFERROR(IF(Active5=TRUE,HLOOKUP(Bird_Chronic[[#This Row],[Crop]],Input_Scenario,14,FALSE)*HLOOKUP(Bird_Chronic[[#This Row],[Crop]],Input_Scenario,8,FALSE)*Bird_Chronic[[#This Row],[SVm]],""),"")</f>
        <v/>
      </c>
      <c r="R94" s="370" t="str">
        <f>IFERROR(IF(ISNUMBER(INDEX(Active[B_NOAEL], 5)),
                          INDEX(Active[B_NOAEL], 5)/Q94,""),"")</f>
        <v/>
      </c>
      <c r="S94" s="204"/>
      <c r="T94" s="56"/>
      <c r="U94" s="56"/>
      <c r="V94" s="56"/>
      <c r="W94" s="56"/>
      <c r="X94" s="56"/>
      <c r="Y94" s="56"/>
      <c r="Z94" s="56"/>
      <c r="AA94" s="56"/>
      <c r="AB94" s="56"/>
      <c r="AC94" s="56"/>
      <c r="AD94" s="56"/>
      <c r="AE94" s="56"/>
      <c r="AF94" s="56"/>
      <c r="AG94" s="56"/>
      <c r="AH94" s="56"/>
    </row>
    <row r="95" spans="1:34" s="106" customFormat="1" ht="16.5" customHeight="1">
      <c r="A95" s="56"/>
      <c r="B95" s="314" t="str">
        <f t="shared" ca="1" si="1"/>
        <v>No input</v>
      </c>
      <c r="C95" s="72" t="s">
        <v>154</v>
      </c>
      <c r="D95" s="73" t="s">
        <v>109</v>
      </c>
      <c r="E95" s="73" t="s">
        <v>210</v>
      </c>
      <c r="F95" s="113">
        <v>2.7</v>
      </c>
      <c r="G95" s="203" t="str">
        <f ca="1">IF(AND(Bird_Chronic[[#This Row],[Relevance]]="Input provided", Count&gt;=1),
       IF(B_ChronicScheme="C(mix)",
                 HLOOKUP(Bird_Chronic[[#This Row],[Crop]], Input_Scenario,10,FALSE)*Bird_Chronic[[#This Row],[SVm]]*HLOOKUP(Bird_Chronic[[#This Row],[Crop]],Input_Scenario,8,FALSE),""),"")</f>
        <v/>
      </c>
      <c r="H95" s="368" t="str">
        <f>IF(Count&gt;=1,
       IF(AND(B_ChronicScheme ="C(mix)", ISNUMBER(G95)), (B_NOAEL_form/G95),
       IF(AND(B_ChronicScheme = "HIsum", Count &gt; 1),
            IF(ISNUMBER(J95), IF(ISNUMBER(J95), 5/J95, 0) + IF(ISNUMBER(L95), 5/L95, 0) + IF(ISNUMBER(N95), 5/N95, 0) + IF(ISNUMBER(P95), 5/P95, 0) + IF(ISNUMBER(R95), 5/R95, 0),""), "")),"")</f>
        <v/>
      </c>
      <c r="I95" s="370" t="str">
        <f>IFERROR(IF(Active1=TRUE,HLOOKUP(Bird_Chronic[[#This Row],[Crop]],Input_Scenario,11,FALSE)*HLOOKUP(Bird_Chronic[[#This Row],[Crop]],Input_Scenario,8,FALSE)*Bird_Chronic[[#This Row],[SVm]],""),"")</f>
        <v/>
      </c>
      <c r="J95" s="370" t="str">
        <f>IFERROR(IF(ISNUMBER(INDEX(Active[B_NOAEL], 1)),
                          INDEX(Active[B_NOAEL], 1)/I95,""),"")</f>
        <v/>
      </c>
      <c r="K95" s="370" t="str">
        <f>IFERROR(IF(Active2=TRUE,HLOOKUP(Bird_Chronic[[#This Row],[Crop]],Input_Scenario,12,FALSE)*HLOOKUP(Bird_Chronic[[#This Row],[Crop]],Input_Scenario,8,FALSE)*Bird_Chronic[[#This Row],[SVm]],""),"")</f>
        <v/>
      </c>
      <c r="L95" s="370" t="str">
        <f>IFERROR(IF(ISNUMBER(INDEX(Active[B_NOAEL], 2)),
                          INDEX(Active[B_NOAEL], 2)/K95,""),"")</f>
        <v/>
      </c>
      <c r="M95" s="370" t="str">
        <f>IFERROR(IF(Active3=TRUE,HLOOKUP(Bird_Chronic[[#This Row],[Crop]],Input_Scenario,12,FALSE)*HLOOKUP(Bird_Chronic[[#This Row],[Crop]],Input_Scenario,8,FALSE)*Bird_Chronic[[#This Row],[SVm]],""),"")</f>
        <v/>
      </c>
      <c r="N95" s="370" t="str">
        <f>IFERROR(IF(ISNUMBER(INDEX(Active[B_NOAEL], 3)),
                          INDEX(Active[B_NOAEL], 3)/M95,""),"")</f>
        <v/>
      </c>
      <c r="O95" s="370" t="str">
        <f>IFERROR(IF(Active4=TRUE,HLOOKUP(Bird_Chronic[[#This Row],[Crop]],Input_Scenario,13,FALSE)*HLOOKUP(Bird_Chronic[[#This Row],[Crop]],Input_Scenario,8,FALSE)*Bird_Chronic[[#This Row],[SVm]],""),"")</f>
        <v/>
      </c>
      <c r="P95" s="370" t="str">
        <f>IFERROR(IF(ISNUMBER(INDEX(Active[B_NOAEL], 4)),
                          INDEX(Active[B_NOAEL], 4)/O95,""),"")</f>
        <v/>
      </c>
      <c r="Q95" s="370" t="str">
        <f>IFERROR(IF(Active5=TRUE,HLOOKUP(Bird_Chronic[[#This Row],[Crop]],Input_Scenario,14,FALSE)*HLOOKUP(Bird_Chronic[[#This Row],[Crop]],Input_Scenario,8,FALSE)*Bird_Chronic[[#This Row],[SVm]],""),"")</f>
        <v/>
      </c>
      <c r="R95" s="370" t="str">
        <f>IFERROR(IF(ISNUMBER(INDEX(Active[B_NOAEL], 5)),
                          INDEX(Active[B_NOAEL], 5)/Q95,""),"")</f>
        <v/>
      </c>
      <c r="S95" s="204"/>
      <c r="T95" s="56"/>
      <c r="U95" s="56"/>
      <c r="V95" s="56"/>
      <c r="W95" s="56"/>
      <c r="X95" s="56"/>
      <c r="Y95" s="56"/>
      <c r="Z95" s="56"/>
      <c r="AA95" s="56"/>
      <c r="AB95" s="56"/>
      <c r="AC95" s="56"/>
      <c r="AD95" s="56"/>
      <c r="AE95" s="56"/>
      <c r="AF95" s="56"/>
      <c r="AG95" s="56"/>
      <c r="AH95" s="56"/>
    </row>
    <row r="96" spans="1:34" s="106" customFormat="1" ht="16.5" customHeight="1">
      <c r="A96" s="56"/>
      <c r="B96" s="314" t="str">
        <f t="shared" ref="B96:B127" ca="1" si="2">IF(AND($B$3="Active",ISNUMBER(I96)),"Input provided","No input")</f>
        <v>No input</v>
      </c>
      <c r="C96" s="72" t="s">
        <v>154</v>
      </c>
      <c r="D96" s="73" t="s">
        <v>111</v>
      </c>
      <c r="E96" s="73" t="s">
        <v>211</v>
      </c>
      <c r="F96" s="113">
        <v>4.8</v>
      </c>
      <c r="G96" s="203" t="str">
        <f ca="1">IF(AND(Bird_Chronic[[#This Row],[Relevance]]="Input provided", Count&gt;=1),
       IF(B_ChronicScheme="C(mix)",
                 HLOOKUP(Bird_Chronic[[#This Row],[Crop]], Input_Scenario,10,FALSE)*Bird_Chronic[[#This Row],[SVm]]*HLOOKUP(Bird_Chronic[[#This Row],[Crop]],Input_Scenario,8,FALSE),""),"")</f>
        <v/>
      </c>
      <c r="H96" s="368" t="str">
        <f>IF(Count&gt;=1,
       IF(AND(B_ChronicScheme ="C(mix)", ISNUMBER(G96)), (B_NOAEL_form/G96),
       IF(AND(B_ChronicScheme = "HIsum", Count &gt; 1),
            IF(ISNUMBER(J96), IF(ISNUMBER(J96), 5/J96, 0) + IF(ISNUMBER(L96), 5/L96, 0) + IF(ISNUMBER(N96), 5/N96, 0) + IF(ISNUMBER(P96), 5/P96, 0) + IF(ISNUMBER(R96), 5/R96, 0),""), "")),"")</f>
        <v/>
      </c>
      <c r="I96" s="370" t="str">
        <f>IFERROR(IF(Active1=TRUE,HLOOKUP(Bird_Chronic[[#This Row],[Crop]],Input_Scenario,11,FALSE)*HLOOKUP(Bird_Chronic[[#This Row],[Crop]],Input_Scenario,8,FALSE)*Bird_Chronic[[#This Row],[SVm]],""),"")</f>
        <v/>
      </c>
      <c r="J96" s="370" t="str">
        <f>IFERROR(IF(ISNUMBER(INDEX(Active[B_NOAEL], 1)),
                          INDEX(Active[B_NOAEL], 1)/I96,""),"")</f>
        <v/>
      </c>
      <c r="K96" s="370" t="str">
        <f>IFERROR(IF(Active2=TRUE,HLOOKUP(Bird_Chronic[[#This Row],[Crop]],Input_Scenario,12,FALSE)*HLOOKUP(Bird_Chronic[[#This Row],[Crop]],Input_Scenario,8,FALSE)*Bird_Chronic[[#This Row],[SVm]],""),"")</f>
        <v/>
      </c>
      <c r="L96" s="370" t="str">
        <f>IFERROR(IF(ISNUMBER(INDEX(Active[B_NOAEL], 2)),
                          INDEX(Active[B_NOAEL], 2)/K96,""),"")</f>
        <v/>
      </c>
      <c r="M96" s="370" t="str">
        <f>IFERROR(IF(Active3=TRUE,HLOOKUP(Bird_Chronic[[#This Row],[Crop]],Input_Scenario,12,FALSE)*HLOOKUP(Bird_Chronic[[#This Row],[Crop]],Input_Scenario,8,FALSE)*Bird_Chronic[[#This Row],[SVm]],""),"")</f>
        <v/>
      </c>
      <c r="N96" s="370" t="str">
        <f>IFERROR(IF(ISNUMBER(INDEX(Active[B_NOAEL], 3)),
                          INDEX(Active[B_NOAEL], 3)/M96,""),"")</f>
        <v/>
      </c>
      <c r="O96" s="370" t="str">
        <f>IFERROR(IF(Active4=TRUE,HLOOKUP(Bird_Chronic[[#This Row],[Crop]],Input_Scenario,13,FALSE)*HLOOKUP(Bird_Chronic[[#This Row],[Crop]],Input_Scenario,8,FALSE)*Bird_Chronic[[#This Row],[SVm]],""),"")</f>
        <v/>
      </c>
      <c r="P96" s="370" t="str">
        <f>IFERROR(IF(ISNUMBER(INDEX(Active[B_NOAEL], 4)),
                          INDEX(Active[B_NOAEL], 4)/O96,""),"")</f>
        <v/>
      </c>
      <c r="Q96" s="370" t="str">
        <f>IFERROR(IF(Active5=TRUE,HLOOKUP(Bird_Chronic[[#This Row],[Crop]],Input_Scenario,14,FALSE)*HLOOKUP(Bird_Chronic[[#This Row],[Crop]],Input_Scenario,8,FALSE)*Bird_Chronic[[#This Row],[SVm]],""),"")</f>
        <v/>
      </c>
      <c r="R96" s="370" t="str">
        <f>IFERROR(IF(ISNUMBER(INDEX(Active[B_NOAEL], 5)),
                          INDEX(Active[B_NOAEL], 5)/Q96,""),"")</f>
        <v/>
      </c>
      <c r="S96" s="204"/>
      <c r="T96" s="56"/>
      <c r="U96" s="56"/>
      <c r="V96" s="56"/>
      <c r="W96" s="56"/>
      <c r="X96" s="56"/>
      <c r="Y96" s="56"/>
      <c r="Z96" s="56"/>
      <c r="AA96" s="56"/>
      <c r="AB96" s="56"/>
      <c r="AC96" s="56"/>
      <c r="AD96" s="56"/>
      <c r="AE96" s="56"/>
      <c r="AF96" s="56"/>
      <c r="AG96" s="56"/>
      <c r="AH96" s="56"/>
    </row>
    <row r="97" spans="1:34" s="106" customFormat="1" ht="16.5" customHeight="1">
      <c r="A97" s="56"/>
      <c r="B97" s="314" t="str">
        <f t="shared" ca="1" si="2"/>
        <v>No input</v>
      </c>
      <c r="C97" s="72" t="s">
        <v>160</v>
      </c>
      <c r="D97" s="73" t="s">
        <v>108</v>
      </c>
      <c r="E97" s="73" t="s">
        <v>211</v>
      </c>
      <c r="F97" s="113">
        <v>5.9</v>
      </c>
      <c r="G97" s="203" t="str">
        <f ca="1">IF(AND(Bird_Chronic[[#This Row],[Relevance]]="Input provided", Count&gt;=1),
       IF(B_ChronicScheme="C(mix)",
                 HLOOKUP(Bird_Chronic[[#This Row],[Crop]], Input_Scenario,10,FALSE)*Bird_Chronic[[#This Row],[SVm]]*HLOOKUP(Bird_Chronic[[#This Row],[Crop]],Input_Scenario,8,FALSE),""),"")</f>
        <v/>
      </c>
      <c r="H97" s="368" t="str">
        <f>IF(Count&gt;=1,
       IF(AND(B_ChronicScheme ="C(mix)", ISNUMBER(G97)), (B_NOAEL_form/G97),
       IF(AND(B_ChronicScheme = "HIsum", Count &gt; 1),
            IF(ISNUMBER(J97), IF(ISNUMBER(J97), 5/J97, 0) + IF(ISNUMBER(L97), 5/L97, 0) + IF(ISNUMBER(N97), 5/N97, 0) + IF(ISNUMBER(P97), 5/P97, 0) + IF(ISNUMBER(R97), 5/R97, 0),""), "")),"")</f>
        <v/>
      </c>
      <c r="I97" s="370" t="str">
        <f>IFERROR(IF(Active1=TRUE,HLOOKUP(Bird_Chronic[[#This Row],[Crop]],Input_Scenario,11,FALSE)*HLOOKUP(Bird_Chronic[[#This Row],[Crop]],Input_Scenario,8,FALSE)*Bird_Chronic[[#This Row],[SVm]],""),"")</f>
        <v/>
      </c>
      <c r="J97" s="370" t="str">
        <f>IFERROR(IF(ISNUMBER(INDEX(Active[B_NOAEL], 1)),
                          INDEX(Active[B_NOAEL], 1)/I97,""),"")</f>
        <v/>
      </c>
      <c r="K97" s="370" t="str">
        <f>IFERROR(IF(Active2=TRUE,HLOOKUP(Bird_Chronic[[#This Row],[Crop]],Input_Scenario,12,FALSE)*HLOOKUP(Bird_Chronic[[#This Row],[Crop]],Input_Scenario,8,FALSE)*Bird_Chronic[[#This Row],[SVm]],""),"")</f>
        <v/>
      </c>
      <c r="L97" s="370" t="str">
        <f>IFERROR(IF(ISNUMBER(INDEX(Active[B_NOAEL], 2)),
                          INDEX(Active[B_NOAEL], 2)/K97,""),"")</f>
        <v/>
      </c>
      <c r="M97" s="370" t="str">
        <f>IFERROR(IF(Active3=TRUE,HLOOKUP(Bird_Chronic[[#This Row],[Crop]],Input_Scenario,12,FALSE)*HLOOKUP(Bird_Chronic[[#This Row],[Crop]],Input_Scenario,8,FALSE)*Bird_Chronic[[#This Row],[SVm]],""),"")</f>
        <v/>
      </c>
      <c r="N97" s="370" t="str">
        <f>IFERROR(IF(ISNUMBER(INDEX(Active[B_NOAEL], 3)),
                          INDEX(Active[B_NOAEL], 3)/M97,""),"")</f>
        <v/>
      </c>
      <c r="O97" s="370" t="str">
        <f>IFERROR(IF(Active4=TRUE,HLOOKUP(Bird_Chronic[[#This Row],[Crop]],Input_Scenario,13,FALSE)*HLOOKUP(Bird_Chronic[[#This Row],[Crop]],Input_Scenario,8,FALSE)*Bird_Chronic[[#This Row],[SVm]],""),"")</f>
        <v/>
      </c>
      <c r="P97" s="370" t="str">
        <f>IFERROR(IF(ISNUMBER(INDEX(Active[B_NOAEL], 4)),
                          INDEX(Active[B_NOAEL], 4)/O97,""),"")</f>
        <v/>
      </c>
      <c r="Q97" s="370" t="str">
        <f>IFERROR(IF(Active5=TRUE,HLOOKUP(Bird_Chronic[[#This Row],[Crop]],Input_Scenario,14,FALSE)*HLOOKUP(Bird_Chronic[[#This Row],[Crop]],Input_Scenario,8,FALSE)*Bird_Chronic[[#This Row],[SVm]],""),"")</f>
        <v/>
      </c>
      <c r="R97" s="370" t="str">
        <f>IFERROR(IF(ISNUMBER(INDEX(Active[B_NOAEL], 5)),
                          INDEX(Active[B_NOAEL], 5)/Q97,""),"")</f>
        <v/>
      </c>
      <c r="S97" s="204"/>
      <c r="T97" s="56"/>
      <c r="U97" s="56"/>
      <c r="V97" s="56"/>
      <c r="W97" s="56"/>
      <c r="X97" s="56"/>
      <c r="Y97" s="56"/>
      <c r="Z97" s="56"/>
      <c r="AA97" s="56"/>
      <c r="AB97" s="56"/>
      <c r="AC97" s="56"/>
      <c r="AD97" s="56"/>
      <c r="AE97" s="56"/>
      <c r="AF97" s="56"/>
      <c r="AG97" s="56"/>
      <c r="AH97" s="56"/>
    </row>
    <row r="98" spans="1:34" s="106" customFormat="1" ht="16.5" customHeight="1">
      <c r="A98" s="56"/>
      <c r="B98" s="314" t="str">
        <f t="shared" ca="1" si="2"/>
        <v>No input</v>
      </c>
      <c r="C98" s="72" t="s">
        <v>160</v>
      </c>
      <c r="D98" s="73" t="s">
        <v>161</v>
      </c>
      <c r="E98" s="73" t="s">
        <v>214</v>
      </c>
      <c r="F98" s="113">
        <v>15.9</v>
      </c>
      <c r="G98" s="203" t="str">
        <f ca="1">IF(AND(Bird_Chronic[[#This Row],[Relevance]]="Input provided", Count&gt;=1),
       IF(B_ChronicScheme="C(mix)",
                 HLOOKUP(Bird_Chronic[[#This Row],[Crop]], Input_Scenario,10,FALSE)*Bird_Chronic[[#This Row],[SVm]]*HLOOKUP(Bird_Chronic[[#This Row],[Crop]],Input_Scenario,8,FALSE),""),"")</f>
        <v/>
      </c>
      <c r="H98" s="368" t="str">
        <f>IF(Count&gt;=1,
       IF(AND(B_ChronicScheme ="C(mix)", ISNUMBER(G98)), (B_NOAEL_form/G98),
       IF(AND(B_ChronicScheme = "HIsum", Count &gt; 1),
            IF(ISNUMBER(J98), IF(ISNUMBER(J98), 5/J98, 0) + IF(ISNUMBER(L98), 5/L98, 0) + IF(ISNUMBER(N98), 5/N98, 0) + IF(ISNUMBER(P98), 5/P98, 0) + IF(ISNUMBER(R98), 5/R98, 0),""), "")),"")</f>
        <v/>
      </c>
      <c r="I98" s="370" t="str">
        <f>IFERROR(IF(Active1=TRUE,HLOOKUP(Bird_Chronic[[#This Row],[Crop]],Input_Scenario,11,FALSE)*HLOOKUP(Bird_Chronic[[#This Row],[Crop]],Input_Scenario,8,FALSE)*Bird_Chronic[[#This Row],[SVm]],""),"")</f>
        <v/>
      </c>
      <c r="J98" s="370" t="str">
        <f>IFERROR(IF(ISNUMBER(INDEX(Active[B_NOAEL], 1)),
                          INDEX(Active[B_NOAEL], 1)/I98,""),"")</f>
        <v/>
      </c>
      <c r="K98" s="370" t="str">
        <f>IFERROR(IF(Active2=TRUE,HLOOKUP(Bird_Chronic[[#This Row],[Crop]],Input_Scenario,12,FALSE)*HLOOKUP(Bird_Chronic[[#This Row],[Crop]],Input_Scenario,8,FALSE)*Bird_Chronic[[#This Row],[SVm]],""),"")</f>
        <v/>
      </c>
      <c r="L98" s="370" t="str">
        <f>IFERROR(IF(ISNUMBER(INDEX(Active[B_NOAEL], 2)),
                          INDEX(Active[B_NOAEL], 2)/K98,""),"")</f>
        <v/>
      </c>
      <c r="M98" s="370" t="str">
        <f>IFERROR(IF(Active3=TRUE,HLOOKUP(Bird_Chronic[[#This Row],[Crop]],Input_Scenario,12,FALSE)*HLOOKUP(Bird_Chronic[[#This Row],[Crop]],Input_Scenario,8,FALSE)*Bird_Chronic[[#This Row],[SVm]],""),"")</f>
        <v/>
      </c>
      <c r="N98" s="370" t="str">
        <f>IFERROR(IF(ISNUMBER(INDEX(Active[B_NOAEL], 3)),
                          INDEX(Active[B_NOAEL], 3)/M98,""),"")</f>
        <v/>
      </c>
      <c r="O98" s="370" t="str">
        <f>IFERROR(IF(Active4=TRUE,HLOOKUP(Bird_Chronic[[#This Row],[Crop]],Input_Scenario,13,FALSE)*HLOOKUP(Bird_Chronic[[#This Row],[Crop]],Input_Scenario,8,FALSE)*Bird_Chronic[[#This Row],[SVm]],""),"")</f>
        <v/>
      </c>
      <c r="P98" s="370" t="str">
        <f>IFERROR(IF(ISNUMBER(INDEX(Active[B_NOAEL], 4)),
                          INDEX(Active[B_NOAEL], 4)/O98,""),"")</f>
        <v/>
      </c>
      <c r="Q98" s="370" t="str">
        <f>IFERROR(IF(Active5=TRUE,HLOOKUP(Bird_Chronic[[#This Row],[Crop]],Input_Scenario,14,FALSE)*HLOOKUP(Bird_Chronic[[#This Row],[Crop]],Input_Scenario,8,FALSE)*Bird_Chronic[[#This Row],[SVm]],""),"")</f>
        <v/>
      </c>
      <c r="R98" s="370" t="str">
        <f>IFERROR(IF(ISNUMBER(INDEX(Active[B_NOAEL], 5)),
                          INDEX(Active[B_NOAEL], 5)/Q98,""),"")</f>
        <v/>
      </c>
      <c r="S98" s="204"/>
      <c r="T98" s="56"/>
      <c r="U98" s="56"/>
      <c r="V98" s="56"/>
      <c r="W98" s="56"/>
      <c r="X98" s="56"/>
      <c r="Y98" s="56"/>
      <c r="Z98" s="56"/>
      <c r="AA98" s="56"/>
      <c r="AB98" s="56"/>
      <c r="AC98" s="56"/>
      <c r="AD98" s="56"/>
      <c r="AE98" s="56"/>
      <c r="AF98" s="56"/>
      <c r="AG98" s="56"/>
      <c r="AH98" s="56"/>
    </row>
    <row r="99" spans="1:34" s="106" customFormat="1" ht="16.5" customHeight="1">
      <c r="A99" s="56"/>
      <c r="B99" s="314" t="str">
        <f t="shared" ca="1" si="2"/>
        <v>No input</v>
      </c>
      <c r="C99" s="72" t="s">
        <v>160</v>
      </c>
      <c r="D99" s="73" t="s">
        <v>163</v>
      </c>
      <c r="E99" s="73" t="s">
        <v>209</v>
      </c>
      <c r="F99" s="113">
        <v>11.4</v>
      </c>
      <c r="G99" s="203" t="str">
        <f ca="1">IF(AND(Bird_Chronic[[#This Row],[Relevance]]="Input provided", Count&gt;=1),
       IF(B_ChronicScheme="C(mix)",
                 HLOOKUP(Bird_Chronic[[#This Row],[Crop]], Input_Scenario,10,FALSE)*Bird_Chronic[[#This Row],[SVm]]*HLOOKUP(Bird_Chronic[[#This Row],[Crop]],Input_Scenario,8,FALSE),""),"")</f>
        <v/>
      </c>
      <c r="H99" s="368" t="str">
        <f>IF(Count&gt;=1,
       IF(AND(B_ChronicScheme ="C(mix)", ISNUMBER(G99)), (B_NOAEL_form/G99),
       IF(AND(B_ChronicScheme = "HIsum", Count &gt; 1),
            IF(ISNUMBER(J99), IF(ISNUMBER(J99), 5/J99, 0) + IF(ISNUMBER(L99), 5/L99, 0) + IF(ISNUMBER(N99), 5/N99, 0) + IF(ISNUMBER(P99), 5/P99, 0) + IF(ISNUMBER(R99), 5/R99, 0),""), "")),"")</f>
        <v/>
      </c>
      <c r="I99" s="370" t="str">
        <f>IFERROR(IF(Active1=TRUE,HLOOKUP(Bird_Chronic[[#This Row],[Crop]],Input_Scenario,11,FALSE)*HLOOKUP(Bird_Chronic[[#This Row],[Crop]],Input_Scenario,8,FALSE)*Bird_Chronic[[#This Row],[SVm]],""),"")</f>
        <v/>
      </c>
      <c r="J99" s="370" t="str">
        <f>IFERROR(IF(ISNUMBER(INDEX(Active[B_NOAEL], 1)),
                          INDEX(Active[B_NOAEL], 1)/I99,""),"")</f>
        <v/>
      </c>
      <c r="K99" s="370" t="str">
        <f>IFERROR(IF(Active2=TRUE,HLOOKUP(Bird_Chronic[[#This Row],[Crop]],Input_Scenario,12,FALSE)*HLOOKUP(Bird_Chronic[[#This Row],[Crop]],Input_Scenario,8,FALSE)*Bird_Chronic[[#This Row],[SVm]],""),"")</f>
        <v/>
      </c>
      <c r="L99" s="370" t="str">
        <f>IFERROR(IF(ISNUMBER(INDEX(Active[B_NOAEL], 2)),
                          INDEX(Active[B_NOAEL], 2)/K99,""),"")</f>
        <v/>
      </c>
      <c r="M99" s="370" t="str">
        <f>IFERROR(IF(Active3=TRUE,HLOOKUP(Bird_Chronic[[#This Row],[Crop]],Input_Scenario,12,FALSE)*HLOOKUP(Bird_Chronic[[#This Row],[Crop]],Input_Scenario,8,FALSE)*Bird_Chronic[[#This Row],[SVm]],""),"")</f>
        <v/>
      </c>
      <c r="N99" s="370" t="str">
        <f>IFERROR(IF(ISNUMBER(INDEX(Active[B_NOAEL], 3)),
                          INDEX(Active[B_NOAEL], 3)/M99,""),"")</f>
        <v/>
      </c>
      <c r="O99" s="370" t="str">
        <f>IFERROR(IF(Active4=TRUE,HLOOKUP(Bird_Chronic[[#This Row],[Crop]],Input_Scenario,13,FALSE)*HLOOKUP(Bird_Chronic[[#This Row],[Crop]],Input_Scenario,8,FALSE)*Bird_Chronic[[#This Row],[SVm]],""),"")</f>
        <v/>
      </c>
      <c r="P99" s="370" t="str">
        <f>IFERROR(IF(ISNUMBER(INDEX(Active[B_NOAEL], 4)),
                          INDEX(Active[B_NOAEL], 4)/O99,""),"")</f>
        <v/>
      </c>
      <c r="Q99" s="370" t="str">
        <f>IFERROR(IF(Active5=TRUE,HLOOKUP(Bird_Chronic[[#This Row],[Crop]],Input_Scenario,14,FALSE)*HLOOKUP(Bird_Chronic[[#This Row],[Crop]],Input_Scenario,8,FALSE)*Bird_Chronic[[#This Row],[SVm]],""),"")</f>
        <v/>
      </c>
      <c r="R99" s="370" t="str">
        <f>IFERROR(IF(ISNUMBER(INDEX(Active[B_NOAEL], 5)),
                          INDEX(Active[B_NOAEL], 5)/Q99,""),"")</f>
        <v/>
      </c>
      <c r="S99" s="204"/>
      <c r="T99" s="56"/>
      <c r="U99" s="56"/>
      <c r="V99" s="56"/>
      <c r="W99" s="56"/>
      <c r="X99" s="56"/>
      <c r="Y99" s="56"/>
      <c r="Z99" s="56"/>
      <c r="AA99" s="56"/>
      <c r="AB99" s="56"/>
      <c r="AC99" s="56"/>
      <c r="AD99" s="56"/>
      <c r="AE99" s="56"/>
      <c r="AF99" s="56"/>
      <c r="AG99" s="56"/>
      <c r="AH99" s="56"/>
    </row>
    <row r="100" spans="1:34" s="106" customFormat="1" ht="16.5" customHeight="1">
      <c r="A100" s="56"/>
      <c r="B100" s="314" t="str">
        <f t="shared" ca="1" si="2"/>
        <v>No input</v>
      </c>
      <c r="C100" s="72" t="s">
        <v>160</v>
      </c>
      <c r="D100" s="73" t="s">
        <v>119</v>
      </c>
      <c r="E100" s="73" t="s">
        <v>210</v>
      </c>
      <c r="F100" s="113">
        <v>10.9</v>
      </c>
      <c r="G100" s="203" t="str">
        <f ca="1">IF(AND(Bird_Chronic[[#This Row],[Relevance]]="Input provided", Count&gt;=1),
       IF(B_ChronicScheme="C(mix)",
                 HLOOKUP(Bird_Chronic[[#This Row],[Crop]], Input_Scenario,10,FALSE)*Bird_Chronic[[#This Row],[SVm]]*HLOOKUP(Bird_Chronic[[#This Row],[Crop]],Input_Scenario,8,FALSE),""),"")</f>
        <v/>
      </c>
      <c r="H100" s="368" t="str">
        <f>IF(Count&gt;=1,
       IF(AND(B_ChronicScheme ="C(mix)", ISNUMBER(G100)), (B_NOAEL_form/G100),
       IF(AND(B_ChronicScheme = "HIsum", Count &gt; 1),
            IF(ISNUMBER(J100), IF(ISNUMBER(J100), 5/J100, 0) + IF(ISNUMBER(L100), 5/L100, 0) + IF(ISNUMBER(N100), 5/N100, 0) + IF(ISNUMBER(P100), 5/P100, 0) + IF(ISNUMBER(R100), 5/R100, 0),""), "")),"")</f>
        <v/>
      </c>
      <c r="I100" s="370" t="str">
        <f>IFERROR(IF(Active1=TRUE,HLOOKUP(Bird_Chronic[[#This Row],[Crop]],Input_Scenario,11,FALSE)*HLOOKUP(Bird_Chronic[[#This Row],[Crop]],Input_Scenario,8,FALSE)*Bird_Chronic[[#This Row],[SVm]],""),"")</f>
        <v/>
      </c>
      <c r="J100" s="370" t="str">
        <f>IFERROR(IF(ISNUMBER(INDEX(Active[B_NOAEL], 1)),
                          INDEX(Active[B_NOAEL], 1)/I100,""),"")</f>
        <v/>
      </c>
      <c r="K100" s="370" t="str">
        <f>IFERROR(IF(Active2=TRUE,HLOOKUP(Bird_Chronic[[#This Row],[Crop]],Input_Scenario,12,FALSE)*HLOOKUP(Bird_Chronic[[#This Row],[Crop]],Input_Scenario,8,FALSE)*Bird_Chronic[[#This Row],[SVm]],""),"")</f>
        <v/>
      </c>
      <c r="L100" s="370" t="str">
        <f>IFERROR(IF(ISNUMBER(INDEX(Active[B_NOAEL], 2)),
                          INDEX(Active[B_NOAEL], 2)/K100,""),"")</f>
        <v/>
      </c>
      <c r="M100" s="370" t="str">
        <f>IFERROR(IF(Active3=TRUE,HLOOKUP(Bird_Chronic[[#This Row],[Crop]],Input_Scenario,12,FALSE)*HLOOKUP(Bird_Chronic[[#This Row],[Crop]],Input_Scenario,8,FALSE)*Bird_Chronic[[#This Row],[SVm]],""),"")</f>
        <v/>
      </c>
      <c r="N100" s="370" t="str">
        <f>IFERROR(IF(ISNUMBER(INDEX(Active[B_NOAEL], 3)),
                          INDEX(Active[B_NOAEL], 3)/M100,""),"")</f>
        <v/>
      </c>
      <c r="O100" s="370" t="str">
        <f>IFERROR(IF(Active4=TRUE,HLOOKUP(Bird_Chronic[[#This Row],[Crop]],Input_Scenario,13,FALSE)*HLOOKUP(Bird_Chronic[[#This Row],[Crop]],Input_Scenario,8,FALSE)*Bird_Chronic[[#This Row],[SVm]],""),"")</f>
        <v/>
      </c>
      <c r="P100" s="370" t="str">
        <f>IFERROR(IF(ISNUMBER(INDEX(Active[B_NOAEL], 4)),
                          INDEX(Active[B_NOAEL], 4)/O100,""),"")</f>
        <v/>
      </c>
      <c r="Q100" s="370" t="str">
        <f>IFERROR(IF(Active5=TRUE,HLOOKUP(Bird_Chronic[[#This Row],[Crop]],Input_Scenario,14,FALSE)*HLOOKUP(Bird_Chronic[[#This Row],[Crop]],Input_Scenario,8,FALSE)*Bird_Chronic[[#This Row],[SVm]],""),"")</f>
        <v/>
      </c>
      <c r="R100" s="370" t="str">
        <f>IFERROR(IF(ISNUMBER(INDEX(Active[B_NOAEL], 5)),
                          INDEX(Active[B_NOAEL], 5)/Q100,""),"")</f>
        <v/>
      </c>
      <c r="S100" s="204"/>
      <c r="T100" s="56"/>
      <c r="U100" s="56"/>
      <c r="V100" s="56"/>
      <c r="W100" s="56"/>
      <c r="X100" s="56"/>
      <c r="Y100" s="56"/>
      <c r="Z100" s="56"/>
      <c r="AA100" s="56"/>
      <c r="AB100" s="56"/>
      <c r="AC100" s="56"/>
      <c r="AD100" s="56"/>
      <c r="AE100" s="56"/>
      <c r="AF100" s="56"/>
      <c r="AG100" s="56"/>
      <c r="AH100" s="56"/>
    </row>
    <row r="101" spans="1:34" s="106" customFormat="1" ht="16.5" customHeight="1">
      <c r="A101" s="56"/>
      <c r="B101" s="314" t="str">
        <f t="shared" ca="1" si="2"/>
        <v>No input</v>
      </c>
      <c r="C101" s="72" t="s">
        <v>160</v>
      </c>
      <c r="D101" s="73" t="s">
        <v>164</v>
      </c>
      <c r="E101" s="73" t="s">
        <v>223</v>
      </c>
      <c r="F101" s="113">
        <v>3.5</v>
      </c>
      <c r="G101" s="203" t="str">
        <f ca="1">IF(AND(Bird_Chronic[[#This Row],[Relevance]]="Input provided", Count&gt;=1),
       IF(B_ChronicScheme="C(mix)",
                 HLOOKUP(Bird_Chronic[[#This Row],[Crop]], Input_Scenario,10,FALSE)*Bird_Chronic[[#This Row],[SVm]]*HLOOKUP(Bird_Chronic[[#This Row],[Crop]],Input_Scenario,8,FALSE),""),"")</f>
        <v/>
      </c>
      <c r="H101" s="368" t="str">
        <f>IF(Count&gt;=1,
       IF(AND(B_ChronicScheme ="C(mix)", ISNUMBER(G101)), (B_NOAEL_form/G101),
       IF(AND(B_ChronicScheme = "HIsum", Count &gt; 1),
            IF(ISNUMBER(J101), IF(ISNUMBER(J101), 5/J101, 0) + IF(ISNUMBER(L101), 5/L101, 0) + IF(ISNUMBER(N101), 5/N101, 0) + IF(ISNUMBER(P101), 5/P101, 0) + IF(ISNUMBER(R101), 5/R101, 0),""), "")),"")</f>
        <v/>
      </c>
      <c r="I101" s="370" t="str">
        <f>IFERROR(IF(Active1=TRUE,HLOOKUP(Bird_Chronic[[#This Row],[Crop]],Input_Scenario,11,FALSE)*HLOOKUP(Bird_Chronic[[#This Row],[Crop]],Input_Scenario,8,FALSE)*Bird_Chronic[[#This Row],[SVm]],""),"")</f>
        <v/>
      </c>
      <c r="J101" s="370" t="str">
        <f>IFERROR(IF(ISNUMBER(INDEX(Active[B_NOAEL], 1)),
                          INDEX(Active[B_NOAEL], 1)/I101,""),"")</f>
        <v/>
      </c>
      <c r="K101" s="370" t="str">
        <f>IFERROR(IF(Active2=TRUE,HLOOKUP(Bird_Chronic[[#This Row],[Crop]],Input_Scenario,12,FALSE)*HLOOKUP(Bird_Chronic[[#This Row],[Crop]],Input_Scenario,8,FALSE)*Bird_Chronic[[#This Row],[SVm]],""),"")</f>
        <v/>
      </c>
      <c r="L101" s="370" t="str">
        <f>IFERROR(IF(ISNUMBER(INDEX(Active[B_NOAEL], 2)),
                          INDEX(Active[B_NOAEL], 2)/K101,""),"")</f>
        <v/>
      </c>
      <c r="M101" s="370" t="str">
        <f>IFERROR(IF(Active3=TRUE,HLOOKUP(Bird_Chronic[[#This Row],[Crop]],Input_Scenario,12,FALSE)*HLOOKUP(Bird_Chronic[[#This Row],[Crop]],Input_Scenario,8,FALSE)*Bird_Chronic[[#This Row],[SVm]],""),"")</f>
        <v/>
      </c>
      <c r="N101" s="370" t="str">
        <f>IFERROR(IF(ISNUMBER(INDEX(Active[B_NOAEL], 3)),
                          INDEX(Active[B_NOAEL], 3)/M101,""),"")</f>
        <v/>
      </c>
      <c r="O101" s="370" t="str">
        <f>IFERROR(IF(Active4=TRUE,HLOOKUP(Bird_Chronic[[#This Row],[Crop]],Input_Scenario,13,FALSE)*HLOOKUP(Bird_Chronic[[#This Row],[Crop]],Input_Scenario,8,FALSE)*Bird_Chronic[[#This Row],[SVm]],""),"")</f>
        <v/>
      </c>
      <c r="P101" s="370" t="str">
        <f>IFERROR(IF(ISNUMBER(INDEX(Active[B_NOAEL], 4)),
                          INDEX(Active[B_NOAEL], 4)/O101,""),"")</f>
        <v/>
      </c>
      <c r="Q101" s="370" t="str">
        <f>IFERROR(IF(Active5=TRUE,HLOOKUP(Bird_Chronic[[#This Row],[Crop]],Input_Scenario,14,FALSE)*HLOOKUP(Bird_Chronic[[#This Row],[Crop]],Input_Scenario,8,FALSE)*Bird_Chronic[[#This Row],[SVm]],""),"")</f>
        <v/>
      </c>
      <c r="R101" s="370" t="str">
        <f>IFERROR(IF(ISNUMBER(INDEX(Active[B_NOAEL], 5)),
                          INDEX(Active[B_NOAEL], 5)/Q101,""),"")</f>
        <v/>
      </c>
      <c r="S101" s="204"/>
      <c r="T101" s="56"/>
      <c r="U101" s="56"/>
      <c r="V101" s="56"/>
      <c r="W101" s="56"/>
      <c r="X101" s="56"/>
      <c r="Y101" s="56"/>
      <c r="Z101" s="56"/>
      <c r="AA101" s="56"/>
      <c r="AB101" s="56"/>
      <c r="AC101" s="56"/>
      <c r="AD101" s="56"/>
      <c r="AE101" s="56"/>
      <c r="AF101" s="56"/>
      <c r="AG101" s="56"/>
      <c r="AH101" s="56"/>
    </row>
    <row r="102" spans="1:34" s="106" customFormat="1" ht="16.5" customHeight="1">
      <c r="A102" s="56"/>
      <c r="B102" s="314" t="str">
        <f t="shared" ca="1" si="2"/>
        <v>No input</v>
      </c>
      <c r="C102" s="72" t="s">
        <v>160</v>
      </c>
      <c r="D102" s="73" t="s">
        <v>109</v>
      </c>
      <c r="E102" s="73" t="s">
        <v>210</v>
      </c>
      <c r="F102" s="113">
        <v>2.7</v>
      </c>
      <c r="G102" s="203" t="str">
        <f ca="1">IF(AND(Bird_Chronic[[#This Row],[Relevance]]="Input provided", Count&gt;=1),
       IF(B_ChronicScheme="C(mix)",
                 HLOOKUP(Bird_Chronic[[#This Row],[Crop]], Input_Scenario,10,FALSE)*Bird_Chronic[[#This Row],[SVm]]*HLOOKUP(Bird_Chronic[[#This Row],[Crop]],Input_Scenario,8,FALSE),""),"")</f>
        <v/>
      </c>
      <c r="H102" s="368" t="str">
        <f>IF(Count&gt;=1,
       IF(AND(B_ChronicScheme ="C(mix)", ISNUMBER(G102)), (B_NOAEL_form/G102),
       IF(AND(B_ChronicScheme = "HIsum", Count &gt; 1),
            IF(ISNUMBER(J102), IF(ISNUMBER(J102), 5/J102, 0) + IF(ISNUMBER(L102), 5/L102, 0) + IF(ISNUMBER(N102), 5/N102, 0) + IF(ISNUMBER(P102), 5/P102, 0) + IF(ISNUMBER(R102), 5/R102, 0),""), "")),"")</f>
        <v/>
      </c>
      <c r="I102" s="370" t="str">
        <f>IFERROR(IF(Active1=TRUE,HLOOKUP(Bird_Chronic[[#This Row],[Crop]],Input_Scenario,11,FALSE)*HLOOKUP(Bird_Chronic[[#This Row],[Crop]],Input_Scenario,8,FALSE)*Bird_Chronic[[#This Row],[SVm]],""),"")</f>
        <v/>
      </c>
      <c r="J102" s="370" t="str">
        <f>IFERROR(IF(ISNUMBER(INDEX(Active[B_NOAEL], 1)),
                          INDEX(Active[B_NOAEL], 1)/I102,""),"")</f>
        <v/>
      </c>
      <c r="K102" s="370" t="str">
        <f>IFERROR(IF(Active2=TRUE,HLOOKUP(Bird_Chronic[[#This Row],[Crop]],Input_Scenario,12,FALSE)*HLOOKUP(Bird_Chronic[[#This Row],[Crop]],Input_Scenario,8,FALSE)*Bird_Chronic[[#This Row],[SVm]],""),"")</f>
        <v/>
      </c>
      <c r="L102" s="370" t="str">
        <f>IFERROR(IF(ISNUMBER(INDEX(Active[B_NOAEL], 2)),
                          INDEX(Active[B_NOAEL], 2)/K102,""),"")</f>
        <v/>
      </c>
      <c r="M102" s="370" t="str">
        <f>IFERROR(IF(Active3=TRUE,HLOOKUP(Bird_Chronic[[#This Row],[Crop]],Input_Scenario,12,FALSE)*HLOOKUP(Bird_Chronic[[#This Row],[Crop]],Input_Scenario,8,FALSE)*Bird_Chronic[[#This Row],[SVm]],""),"")</f>
        <v/>
      </c>
      <c r="N102" s="370" t="str">
        <f>IFERROR(IF(ISNUMBER(INDEX(Active[B_NOAEL], 3)),
                          INDEX(Active[B_NOAEL], 3)/M102,""),"")</f>
        <v/>
      </c>
      <c r="O102" s="370" t="str">
        <f>IFERROR(IF(Active4=TRUE,HLOOKUP(Bird_Chronic[[#This Row],[Crop]],Input_Scenario,13,FALSE)*HLOOKUP(Bird_Chronic[[#This Row],[Crop]],Input_Scenario,8,FALSE)*Bird_Chronic[[#This Row],[SVm]],""),"")</f>
        <v/>
      </c>
      <c r="P102" s="370" t="str">
        <f>IFERROR(IF(ISNUMBER(INDEX(Active[B_NOAEL], 4)),
                          INDEX(Active[B_NOAEL], 4)/O102,""),"")</f>
        <v/>
      </c>
      <c r="Q102" s="370" t="str">
        <f>IFERROR(IF(Active5=TRUE,HLOOKUP(Bird_Chronic[[#This Row],[Crop]],Input_Scenario,14,FALSE)*HLOOKUP(Bird_Chronic[[#This Row],[Crop]],Input_Scenario,8,FALSE)*Bird_Chronic[[#This Row],[SVm]],""),"")</f>
        <v/>
      </c>
      <c r="R102" s="370" t="str">
        <f>IFERROR(IF(ISNUMBER(INDEX(Active[B_NOAEL], 5)),
                          INDEX(Active[B_NOAEL], 5)/Q102,""),"")</f>
        <v/>
      </c>
      <c r="S102" s="204"/>
      <c r="T102" s="56"/>
      <c r="U102" s="56"/>
      <c r="V102" s="56"/>
      <c r="W102" s="56"/>
      <c r="X102" s="56"/>
      <c r="Y102" s="56"/>
      <c r="Z102" s="56"/>
      <c r="AA102" s="56"/>
      <c r="AB102" s="56"/>
      <c r="AC102" s="56"/>
      <c r="AD102" s="56"/>
      <c r="AE102" s="56"/>
      <c r="AF102" s="56"/>
      <c r="AG102" s="56"/>
      <c r="AH102" s="56"/>
    </row>
    <row r="103" spans="1:34" s="106" customFormat="1" ht="16.5" customHeight="1">
      <c r="A103" s="56"/>
      <c r="B103" s="314" t="str">
        <f t="shared" ca="1" si="2"/>
        <v>No input</v>
      </c>
      <c r="C103" s="72" t="s">
        <v>160</v>
      </c>
      <c r="D103" s="73" t="s">
        <v>108</v>
      </c>
      <c r="E103" s="73" t="s">
        <v>223</v>
      </c>
      <c r="F103" s="113">
        <v>22.7</v>
      </c>
      <c r="G103" s="203" t="str">
        <f ca="1">IF(AND(Bird_Chronic[[#This Row],[Relevance]]="Input provided", Count&gt;=1),
       IF(B_ChronicScheme="C(mix)",
                 HLOOKUP(Bird_Chronic[[#This Row],[Crop]], Input_Scenario,10,FALSE)*Bird_Chronic[[#This Row],[SVm]]*HLOOKUP(Bird_Chronic[[#This Row],[Crop]],Input_Scenario,8,FALSE),""),"")</f>
        <v/>
      </c>
      <c r="H103" s="368" t="str">
        <f>IF(Count&gt;=1,
       IF(AND(B_ChronicScheme ="C(mix)", ISNUMBER(G103)), (B_NOAEL_form/G103),
       IF(AND(B_ChronicScheme = "HIsum", Count &gt; 1),
            IF(ISNUMBER(J103), IF(ISNUMBER(J103), 5/J103, 0) + IF(ISNUMBER(L103), 5/L103, 0) + IF(ISNUMBER(N103), 5/N103, 0) + IF(ISNUMBER(P103), 5/P103, 0) + IF(ISNUMBER(R103), 5/R103, 0),""), "")),"")</f>
        <v/>
      </c>
      <c r="I103" s="370" t="str">
        <f>IFERROR(IF(Active1=TRUE,HLOOKUP(Bird_Chronic[[#This Row],[Crop]],Input_Scenario,11,FALSE)*HLOOKUP(Bird_Chronic[[#This Row],[Crop]],Input_Scenario,8,FALSE)*Bird_Chronic[[#This Row],[SVm]],""),"")</f>
        <v/>
      </c>
      <c r="J103" s="370" t="str">
        <f>IFERROR(IF(ISNUMBER(INDEX(Active[B_NOAEL], 1)),
                          INDEX(Active[B_NOAEL], 1)/I103,""),"")</f>
        <v/>
      </c>
      <c r="K103" s="370" t="str">
        <f>IFERROR(IF(Active2=TRUE,HLOOKUP(Bird_Chronic[[#This Row],[Crop]],Input_Scenario,12,FALSE)*HLOOKUP(Bird_Chronic[[#This Row],[Crop]],Input_Scenario,8,FALSE)*Bird_Chronic[[#This Row],[SVm]],""),"")</f>
        <v/>
      </c>
      <c r="L103" s="370" t="str">
        <f>IFERROR(IF(ISNUMBER(INDEX(Active[B_NOAEL], 2)),
                          INDEX(Active[B_NOAEL], 2)/K103,""),"")</f>
        <v/>
      </c>
      <c r="M103" s="370" t="str">
        <f>IFERROR(IF(Active3=TRUE,HLOOKUP(Bird_Chronic[[#This Row],[Crop]],Input_Scenario,12,FALSE)*HLOOKUP(Bird_Chronic[[#This Row],[Crop]],Input_Scenario,8,FALSE)*Bird_Chronic[[#This Row],[SVm]],""),"")</f>
        <v/>
      </c>
      <c r="N103" s="370" t="str">
        <f>IFERROR(IF(ISNUMBER(INDEX(Active[B_NOAEL], 3)),
                          INDEX(Active[B_NOAEL], 3)/M103,""),"")</f>
        <v/>
      </c>
      <c r="O103" s="370" t="str">
        <f>IFERROR(IF(Active4=TRUE,HLOOKUP(Bird_Chronic[[#This Row],[Crop]],Input_Scenario,13,FALSE)*HLOOKUP(Bird_Chronic[[#This Row],[Crop]],Input_Scenario,8,FALSE)*Bird_Chronic[[#This Row],[SVm]],""),"")</f>
        <v/>
      </c>
      <c r="P103" s="370" t="str">
        <f>IFERROR(IF(ISNUMBER(INDEX(Active[B_NOAEL], 4)),
                          INDEX(Active[B_NOAEL], 4)/O103,""),"")</f>
        <v/>
      </c>
      <c r="Q103" s="370" t="str">
        <f>IFERROR(IF(Active5=TRUE,HLOOKUP(Bird_Chronic[[#This Row],[Crop]],Input_Scenario,14,FALSE)*HLOOKUP(Bird_Chronic[[#This Row],[Crop]],Input_Scenario,8,FALSE)*Bird_Chronic[[#This Row],[SVm]],""),"")</f>
        <v/>
      </c>
      <c r="R103" s="370" t="str">
        <f>IFERROR(IF(ISNUMBER(INDEX(Active[B_NOAEL], 5)),
                          INDEX(Active[B_NOAEL], 5)/Q103,""),"")</f>
        <v/>
      </c>
      <c r="S103" s="204"/>
      <c r="T103" s="56"/>
      <c r="U103" s="56"/>
      <c r="V103" s="56"/>
      <c r="W103" s="56"/>
      <c r="X103" s="56"/>
      <c r="Y103" s="56"/>
      <c r="Z103" s="56"/>
      <c r="AA103" s="56"/>
      <c r="AB103" s="56"/>
      <c r="AC103" s="56"/>
      <c r="AD103" s="56"/>
      <c r="AE103" s="56"/>
      <c r="AF103" s="56"/>
      <c r="AG103" s="56"/>
      <c r="AH103" s="56"/>
    </row>
    <row r="104" spans="1:34" s="106" customFormat="1" ht="16.5" customHeight="1">
      <c r="A104" s="56"/>
      <c r="B104" s="314" t="str">
        <f t="shared" ca="1" si="2"/>
        <v>No input</v>
      </c>
      <c r="C104" s="72" t="s">
        <v>160</v>
      </c>
      <c r="D104" s="73" t="s">
        <v>123</v>
      </c>
      <c r="E104" s="73" t="s">
        <v>210</v>
      </c>
      <c r="F104" s="113">
        <v>3.3</v>
      </c>
      <c r="G104" s="203" t="str">
        <f ca="1">IF(AND(Bird_Chronic[[#This Row],[Relevance]]="Input provided", Count&gt;=1),
       IF(B_ChronicScheme="C(mix)",
                 HLOOKUP(Bird_Chronic[[#This Row],[Crop]], Input_Scenario,10,FALSE)*Bird_Chronic[[#This Row],[SVm]]*HLOOKUP(Bird_Chronic[[#This Row],[Crop]],Input_Scenario,8,FALSE),""),"")</f>
        <v/>
      </c>
      <c r="H104" s="368" t="str">
        <f>IF(Count&gt;=1,
       IF(AND(B_ChronicScheme ="C(mix)", ISNUMBER(G104)), (B_NOAEL_form/G104),
       IF(AND(B_ChronicScheme = "HIsum", Count &gt; 1),
            IF(ISNUMBER(J104), IF(ISNUMBER(J104), 5/J104, 0) + IF(ISNUMBER(L104), 5/L104, 0) + IF(ISNUMBER(N104), 5/N104, 0) + IF(ISNUMBER(P104), 5/P104, 0) + IF(ISNUMBER(R104), 5/R104, 0),""), "")),"")</f>
        <v/>
      </c>
      <c r="I104" s="370" t="str">
        <f>IFERROR(IF(Active1=TRUE,HLOOKUP(Bird_Chronic[[#This Row],[Crop]],Input_Scenario,11,FALSE)*HLOOKUP(Bird_Chronic[[#This Row],[Crop]],Input_Scenario,8,FALSE)*Bird_Chronic[[#This Row],[SVm]],""),"")</f>
        <v/>
      </c>
      <c r="J104" s="370" t="str">
        <f>IFERROR(IF(ISNUMBER(INDEX(Active[B_NOAEL], 1)),
                          INDEX(Active[B_NOAEL], 1)/I104,""),"")</f>
        <v/>
      </c>
      <c r="K104" s="370" t="str">
        <f>IFERROR(IF(Active2=TRUE,HLOOKUP(Bird_Chronic[[#This Row],[Crop]],Input_Scenario,12,FALSE)*HLOOKUP(Bird_Chronic[[#This Row],[Crop]],Input_Scenario,8,FALSE)*Bird_Chronic[[#This Row],[SVm]],""),"")</f>
        <v/>
      </c>
      <c r="L104" s="370" t="str">
        <f>IFERROR(IF(ISNUMBER(INDEX(Active[B_NOAEL], 2)),
                          INDEX(Active[B_NOAEL], 2)/K104,""),"")</f>
        <v/>
      </c>
      <c r="M104" s="370" t="str">
        <f>IFERROR(IF(Active3=TRUE,HLOOKUP(Bird_Chronic[[#This Row],[Crop]],Input_Scenario,12,FALSE)*HLOOKUP(Bird_Chronic[[#This Row],[Crop]],Input_Scenario,8,FALSE)*Bird_Chronic[[#This Row],[SVm]],""),"")</f>
        <v/>
      </c>
      <c r="N104" s="370" t="str">
        <f>IFERROR(IF(ISNUMBER(INDEX(Active[B_NOAEL], 3)),
                          INDEX(Active[B_NOAEL], 3)/M104,""),"")</f>
        <v/>
      </c>
      <c r="O104" s="370" t="str">
        <f>IFERROR(IF(Active4=TRUE,HLOOKUP(Bird_Chronic[[#This Row],[Crop]],Input_Scenario,13,FALSE)*HLOOKUP(Bird_Chronic[[#This Row],[Crop]],Input_Scenario,8,FALSE)*Bird_Chronic[[#This Row],[SVm]],""),"")</f>
        <v/>
      </c>
      <c r="P104" s="370" t="str">
        <f>IFERROR(IF(ISNUMBER(INDEX(Active[B_NOAEL], 4)),
                          INDEX(Active[B_NOAEL], 4)/O104,""),"")</f>
        <v/>
      </c>
      <c r="Q104" s="370" t="str">
        <f>IFERROR(IF(Active5=TRUE,HLOOKUP(Bird_Chronic[[#This Row],[Crop]],Input_Scenario,14,FALSE)*HLOOKUP(Bird_Chronic[[#This Row],[Crop]],Input_Scenario,8,FALSE)*Bird_Chronic[[#This Row],[SVm]],""),"")</f>
        <v/>
      </c>
      <c r="R104" s="370" t="str">
        <f>IFERROR(IF(ISNUMBER(INDEX(Active[B_NOAEL], 5)),
                          INDEX(Active[B_NOAEL], 5)/Q104,""),"")</f>
        <v/>
      </c>
      <c r="S104" s="204"/>
      <c r="T104" s="56"/>
      <c r="U104" s="56"/>
      <c r="V104" s="56"/>
      <c r="W104" s="56"/>
      <c r="X104" s="56"/>
      <c r="Y104" s="56"/>
      <c r="Z104" s="56"/>
      <c r="AA104" s="56"/>
      <c r="AB104" s="56"/>
      <c r="AC104" s="56"/>
      <c r="AD104" s="56"/>
      <c r="AE104" s="56"/>
      <c r="AF104" s="56"/>
      <c r="AG104" s="56"/>
      <c r="AH104" s="56"/>
    </row>
    <row r="105" spans="1:34" s="106" customFormat="1" ht="16.5" customHeight="1">
      <c r="A105" s="56"/>
      <c r="B105" s="314" t="str">
        <f t="shared" ca="1" si="2"/>
        <v>No input</v>
      </c>
      <c r="C105" s="72" t="s">
        <v>160</v>
      </c>
      <c r="D105" s="73" t="s">
        <v>123</v>
      </c>
      <c r="E105" s="73" t="s">
        <v>223</v>
      </c>
      <c r="F105" s="113">
        <v>1.1000000000000001</v>
      </c>
      <c r="G105" s="203" t="str">
        <f ca="1">IF(AND(Bird_Chronic[[#This Row],[Relevance]]="Input provided", Count&gt;=1),
       IF(B_ChronicScheme="C(mix)",
                 HLOOKUP(Bird_Chronic[[#This Row],[Crop]], Input_Scenario,10,FALSE)*Bird_Chronic[[#This Row],[SVm]]*HLOOKUP(Bird_Chronic[[#This Row],[Crop]],Input_Scenario,8,FALSE),""),"")</f>
        <v/>
      </c>
      <c r="H105" s="368" t="str">
        <f>IF(Count&gt;=1,
       IF(AND(B_ChronicScheme ="C(mix)", ISNUMBER(G105)), (B_NOAEL_form/G105),
       IF(AND(B_ChronicScheme = "HIsum", Count &gt; 1),
            IF(ISNUMBER(J105), IF(ISNUMBER(J105), 5/J105, 0) + IF(ISNUMBER(L105), 5/L105, 0) + IF(ISNUMBER(N105), 5/N105, 0) + IF(ISNUMBER(P105), 5/P105, 0) + IF(ISNUMBER(R105), 5/R105, 0),""), "")),"")</f>
        <v/>
      </c>
      <c r="I105" s="370" t="str">
        <f>IFERROR(IF(Active1=TRUE,HLOOKUP(Bird_Chronic[[#This Row],[Crop]],Input_Scenario,11,FALSE)*HLOOKUP(Bird_Chronic[[#This Row],[Crop]],Input_Scenario,8,FALSE)*Bird_Chronic[[#This Row],[SVm]],""),"")</f>
        <v/>
      </c>
      <c r="J105" s="370" t="str">
        <f>IFERROR(IF(ISNUMBER(INDEX(Active[B_NOAEL], 1)),
                          INDEX(Active[B_NOAEL], 1)/I105,""),"")</f>
        <v/>
      </c>
      <c r="K105" s="370" t="str">
        <f>IFERROR(IF(Active2=TRUE,HLOOKUP(Bird_Chronic[[#This Row],[Crop]],Input_Scenario,12,FALSE)*HLOOKUP(Bird_Chronic[[#This Row],[Crop]],Input_Scenario,8,FALSE)*Bird_Chronic[[#This Row],[SVm]],""),"")</f>
        <v/>
      </c>
      <c r="L105" s="370" t="str">
        <f>IFERROR(IF(ISNUMBER(INDEX(Active[B_NOAEL], 2)),
                          INDEX(Active[B_NOAEL], 2)/K105,""),"")</f>
        <v/>
      </c>
      <c r="M105" s="370" t="str">
        <f>IFERROR(IF(Active3=TRUE,HLOOKUP(Bird_Chronic[[#This Row],[Crop]],Input_Scenario,12,FALSE)*HLOOKUP(Bird_Chronic[[#This Row],[Crop]],Input_Scenario,8,FALSE)*Bird_Chronic[[#This Row],[SVm]],""),"")</f>
        <v/>
      </c>
      <c r="N105" s="370" t="str">
        <f>IFERROR(IF(ISNUMBER(INDEX(Active[B_NOAEL], 3)),
                          INDEX(Active[B_NOAEL], 3)/M105,""),"")</f>
        <v/>
      </c>
      <c r="O105" s="370" t="str">
        <f>IFERROR(IF(Active4=TRUE,HLOOKUP(Bird_Chronic[[#This Row],[Crop]],Input_Scenario,13,FALSE)*HLOOKUP(Bird_Chronic[[#This Row],[Crop]],Input_Scenario,8,FALSE)*Bird_Chronic[[#This Row],[SVm]],""),"")</f>
        <v/>
      </c>
      <c r="P105" s="370" t="str">
        <f>IFERROR(IF(ISNUMBER(INDEX(Active[B_NOAEL], 4)),
                          INDEX(Active[B_NOAEL], 4)/O105,""),"")</f>
        <v/>
      </c>
      <c r="Q105" s="370" t="str">
        <f>IFERROR(IF(Active5=TRUE,HLOOKUP(Bird_Chronic[[#This Row],[Crop]],Input_Scenario,14,FALSE)*HLOOKUP(Bird_Chronic[[#This Row],[Crop]],Input_Scenario,8,FALSE)*Bird_Chronic[[#This Row],[SVm]],""),"")</f>
        <v/>
      </c>
      <c r="R105" s="370" t="str">
        <f>IFERROR(IF(ISNUMBER(INDEX(Active[B_NOAEL], 5)),
                          INDEX(Active[B_NOAEL], 5)/Q105,""),"")</f>
        <v/>
      </c>
      <c r="S105" s="204"/>
      <c r="T105" s="56"/>
      <c r="U105" s="56"/>
      <c r="V105" s="56"/>
      <c r="W105" s="56"/>
      <c r="X105" s="56"/>
      <c r="Y105" s="56"/>
      <c r="Z105" s="56"/>
      <c r="AA105" s="56"/>
      <c r="AB105" s="56"/>
      <c r="AC105" s="56"/>
      <c r="AD105" s="56"/>
      <c r="AE105" s="56"/>
      <c r="AF105" s="56"/>
      <c r="AG105" s="56"/>
      <c r="AH105" s="56"/>
    </row>
    <row r="106" spans="1:34" s="106" customFormat="1" ht="16.5" customHeight="1">
      <c r="A106" s="56"/>
      <c r="B106" s="314" t="str">
        <f t="shared" ca="1" si="2"/>
        <v>No input</v>
      </c>
      <c r="C106" s="72" t="s">
        <v>160</v>
      </c>
      <c r="D106" s="73" t="s">
        <v>109</v>
      </c>
      <c r="E106" s="73" t="s">
        <v>223</v>
      </c>
      <c r="F106" s="113">
        <v>0.9</v>
      </c>
      <c r="G106" s="203" t="str">
        <f ca="1">IF(AND(Bird_Chronic[[#This Row],[Relevance]]="Input provided", Count&gt;=1),
       IF(B_ChronicScheme="C(mix)",
                 HLOOKUP(Bird_Chronic[[#This Row],[Crop]], Input_Scenario,10,FALSE)*Bird_Chronic[[#This Row],[SVm]]*HLOOKUP(Bird_Chronic[[#This Row],[Crop]],Input_Scenario,8,FALSE),""),"")</f>
        <v/>
      </c>
      <c r="H106" s="368" t="str">
        <f>IF(Count&gt;=1,
       IF(AND(B_ChronicScheme ="C(mix)", ISNUMBER(G106)), (B_NOAEL_form/G106),
       IF(AND(B_ChronicScheme = "HIsum", Count &gt; 1),
            IF(ISNUMBER(J106), IF(ISNUMBER(J106), 5/J106, 0) + IF(ISNUMBER(L106), 5/L106, 0) + IF(ISNUMBER(N106), 5/N106, 0) + IF(ISNUMBER(P106), 5/P106, 0) + IF(ISNUMBER(R106), 5/R106, 0),""), "")),"")</f>
        <v/>
      </c>
      <c r="I106" s="370" t="str">
        <f>IFERROR(IF(Active1=TRUE,HLOOKUP(Bird_Chronic[[#This Row],[Crop]],Input_Scenario,11,FALSE)*HLOOKUP(Bird_Chronic[[#This Row],[Crop]],Input_Scenario,8,FALSE)*Bird_Chronic[[#This Row],[SVm]],""),"")</f>
        <v/>
      </c>
      <c r="J106" s="370" t="str">
        <f>IFERROR(IF(ISNUMBER(INDEX(Active[B_NOAEL], 1)),
                          INDEX(Active[B_NOAEL], 1)/I106,""),"")</f>
        <v/>
      </c>
      <c r="K106" s="370" t="str">
        <f>IFERROR(IF(Active2=TRUE,HLOOKUP(Bird_Chronic[[#This Row],[Crop]],Input_Scenario,12,FALSE)*HLOOKUP(Bird_Chronic[[#This Row],[Crop]],Input_Scenario,8,FALSE)*Bird_Chronic[[#This Row],[SVm]],""),"")</f>
        <v/>
      </c>
      <c r="L106" s="370" t="str">
        <f>IFERROR(IF(ISNUMBER(INDEX(Active[B_NOAEL], 2)),
                          INDEX(Active[B_NOAEL], 2)/K106,""),"")</f>
        <v/>
      </c>
      <c r="M106" s="370" t="str">
        <f>IFERROR(IF(Active3=TRUE,HLOOKUP(Bird_Chronic[[#This Row],[Crop]],Input_Scenario,12,FALSE)*HLOOKUP(Bird_Chronic[[#This Row],[Crop]],Input_Scenario,8,FALSE)*Bird_Chronic[[#This Row],[SVm]],""),"")</f>
        <v/>
      </c>
      <c r="N106" s="370" t="str">
        <f>IFERROR(IF(ISNUMBER(INDEX(Active[B_NOAEL], 3)),
                          INDEX(Active[B_NOAEL], 3)/M106,""),"")</f>
        <v/>
      </c>
      <c r="O106" s="370" t="str">
        <f>IFERROR(IF(Active4=TRUE,HLOOKUP(Bird_Chronic[[#This Row],[Crop]],Input_Scenario,13,FALSE)*HLOOKUP(Bird_Chronic[[#This Row],[Crop]],Input_Scenario,8,FALSE)*Bird_Chronic[[#This Row],[SVm]],""),"")</f>
        <v/>
      </c>
      <c r="P106" s="370" t="str">
        <f>IFERROR(IF(ISNUMBER(INDEX(Active[B_NOAEL], 4)),
                          INDEX(Active[B_NOAEL], 4)/O106,""),"")</f>
        <v/>
      </c>
      <c r="Q106" s="370" t="str">
        <f>IFERROR(IF(Active5=TRUE,HLOOKUP(Bird_Chronic[[#This Row],[Crop]],Input_Scenario,14,FALSE)*HLOOKUP(Bird_Chronic[[#This Row],[Crop]],Input_Scenario,8,FALSE)*Bird_Chronic[[#This Row],[SVm]],""),"")</f>
        <v/>
      </c>
      <c r="R106" s="370" t="str">
        <f>IFERROR(IF(ISNUMBER(INDEX(Active[B_NOAEL], 5)),
                          INDEX(Active[B_NOAEL], 5)/Q106,""),"")</f>
        <v/>
      </c>
      <c r="S106" s="204"/>
      <c r="T106" s="56"/>
      <c r="U106" s="56"/>
      <c r="V106" s="56"/>
      <c r="W106" s="56"/>
      <c r="X106" s="56"/>
      <c r="Y106" s="56"/>
      <c r="Z106" s="56"/>
      <c r="AA106" s="56"/>
      <c r="AB106" s="56"/>
      <c r="AC106" s="56"/>
      <c r="AD106" s="56"/>
      <c r="AE106" s="56"/>
      <c r="AF106" s="56"/>
      <c r="AG106" s="56"/>
      <c r="AH106" s="56"/>
    </row>
    <row r="107" spans="1:34" s="106" customFormat="1" ht="16.5" customHeight="1">
      <c r="A107" s="56"/>
      <c r="B107" s="314" t="str">
        <f t="shared" ca="1" si="2"/>
        <v>No input</v>
      </c>
      <c r="C107" s="72" t="s">
        <v>160</v>
      </c>
      <c r="D107" s="73" t="s">
        <v>165</v>
      </c>
      <c r="E107" s="73" t="s">
        <v>226</v>
      </c>
      <c r="F107" s="113">
        <v>2.7</v>
      </c>
      <c r="G107" s="203" t="str">
        <f ca="1">IF(AND(Bird_Chronic[[#This Row],[Relevance]]="Input provided", Count&gt;=1),
       IF(B_ChronicScheme="C(mix)",
                 HLOOKUP(Bird_Chronic[[#This Row],[Crop]], Input_Scenario,10,FALSE)*Bird_Chronic[[#This Row],[SVm]]*HLOOKUP(Bird_Chronic[[#This Row],[Crop]],Input_Scenario,8,FALSE),""),"")</f>
        <v/>
      </c>
      <c r="H107" s="368" t="str">
        <f>IF(Count&gt;=1,
       IF(AND(B_ChronicScheme ="C(mix)", ISNUMBER(G107)), (B_NOAEL_form/G107),
       IF(AND(B_ChronicScheme = "HIsum", Count &gt; 1),
            IF(ISNUMBER(J107), IF(ISNUMBER(J107), 5/J107, 0) + IF(ISNUMBER(L107), 5/L107, 0) + IF(ISNUMBER(N107), 5/N107, 0) + IF(ISNUMBER(P107), 5/P107, 0) + IF(ISNUMBER(R107), 5/R107, 0),""), "")),"")</f>
        <v/>
      </c>
      <c r="I107" s="370" t="str">
        <f>IFERROR(IF(Active1=TRUE,HLOOKUP(Bird_Chronic[[#This Row],[Crop]],Input_Scenario,11,FALSE)*HLOOKUP(Bird_Chronic[[#This Row],[Crop]],Input_Scenario,8,FALSE)*Bird_Chronic[[#This Row],[SVm]],""),"")</f>
        <v/>
      </c>
      <c r="J107" s="370" t="str">
        <f>IFERROR(IF(ISNUMBER(INDEX(Active[B_NOAEL], 1)),
                          INDEX(Active[B_NOAEL], 1)/I107,""),"")</f>
        <v/>
      </c>
      <c r="K107" s="370" t="str">
        <f>IFERROR(IF(Active2=TRUE,HLOOKUP(Bird_Chronic[[#This Row],[Crop]],Input_Scenario,12,FALSE)*HLOOKUP(Bird_Chronic[[#This Row],[Crop]],Input_Scenario,8,FALSE)*Bird_Chronic[[#This Row],[SVm]],""),"")</f>
        <v/>
      </c>
      <c r="L107" s="370" t="str">
        <f>IFERROR(IF(ISNUMBER(INDEX(Active[B_NOAEL], 2)),
                          INDEX(Active[B_NOAEL], 2)/K107,""),"")</f>
        <v/>
      </c>
      <c r="M107" s="370" t="str">
        <f>IFERROR(IF(Active3=TRUE,HLOOKUP(Bird_Chronic[[#This Row],[Crop]],Input_Scenario,12,FALSE)*HLOOKUP(Bird_Chronic[[#This Row],[Crop]],Input_Scenario,8,FALSE)*Bird_Chronic[[#This Row],[SVm]],""),"")</f>
        <v/>
      </c>
      <c r="N107" s="370" t="str">
        <f>IFERROR(IF(ISNUMBER(INDEX(Active[B_NOAEL], 3)),
                          INDEX(Active[B_NOAEL], 3)/M107,""),"")</f>
        <v/>
      </c>
      <c r="O107" s="370" t="str">
        <f>IFERROR(IF(Active4=TRUE,HLOOKUP(Bird_Chronic[[#This Row],[Crop]],Input_Scenario,13,FALSE)*HLOOKUP(Bird_Chronic[[#This Row],[Crop]],Input_Scenario,8,FALSE)*Bird_Chronic[[#This Row],[SVm]],""),"")</f>
        <v/>
      </c>
      <c r="P107" s="370" t="str">
        <f>IFERROR(IF(ISNUMBER(INDEX(Active[B_NOAEL], 4)),
                          INDEX(Active[B_NOAEL], 4)/O107,""),"")</f>
        <v/>
      </c>
      <c r="Q107" s="370" t="str">
        <f>IFERROR(IF(Active5=TRUE,HLOOKUP(Bird_Chronic[[#This Row],[Crop]],Input_Scenario,14,FALSE)*HLOOKUP(Bird_Chronic[[#This Row],[Crop]],Input_Scenario,8,FALSE)*Bird_Chronic[[#This Row],[SVm]],""),"")</f>
        <v/>
      </c>
      <c r="R107" s="370" t="str">
        <f>IFERROR(IF(ISNUMBER(INDEX(Active[B_NOAEL], 5)),
                          INDEX(Active[B_NOAEL], 5)/Q107,""),"")</f>
        <v/>
      </c>
      <c r="S107" s="204"/>
      <c r="T107" s="56"/>
      <c r="U107" s="56"/>
      <c r="V107" s="56"/>
      <c r="W107" s="56"/>
      <c r="X107" s="56"/>
      <c r="Y107" s="56"/>
      <c r="Z107" s="56"/>
      <c r="AA107" s="56"/>
      <c r="AB107" s="56"/>
      <c r="AC107" s="56"/>
      <c r="AD107" s="56"/>
      <c r="AE107" s="56"/>
      <c r="AF107" s="56"/>
      <c r="AG107" s="56"/>
      <c r="AH107" s="56"/>
    </row>
    <row r="108" spans="1:34" s="106" customFormat="1" ht="16.5" customHeight="1">
      <c r="A108" s="56"/>
      <c r="B108" s="314" t="str">
        <f t="shared" ca="1" si="2"/>
        <v>No input</v>
      </c>
      <c r="C108" s="72" t="s">
        <v>160</v>
      </c>
      <c r="D108" s="73" t="s">
        <v>164</v>
      </c>
      <c r="E108" s="73" t="s">
        <v>211</v>
      </c>
      <c r="F108" s="113">
        <v>2.8</v>
      </c>
      <c r="G108" s="203" t="str">
        <f ca="1">IF(AND(Bird_Chronic[[#This Row],[Relevance]]="Input provided", Count&gt;=1),
       IF(B_ChronicScheme="C(mix)",
                 HLOOKUP(Bird_Chronic[[#This Row],[Crop]], Input_Scenario,10,FALSE)*Bird_Chronic[[#This Row],[SVm]]*HLOOKUP(Bird_Chronic[[#This Row],[Crop]],Input_Scenario,8,FALSE),""),"")</f>
        <v/>
      </c>
      <c r="H108" s="368" t="str">
        <f>IF(Count&gt;=1,
       IF(AND(B_ChronicScheme ="C(mix)", ISNUMBER(G108)), (B_NOAEL_form/G108),
       IF(AND(B_ChronicScheme = "HIsum", Count &gt; 1),
            IF(ISNUMBER(J108), IF(ISNUMBER(J108), 5/J108, 0) + IF(ISNUMBER(L108), 5/L108, 0) + IF(ISNUMBER(N108), 5/N108, 0) + IF(ISNUMBER(P108), 5/P108, 0) + IF(ISNUMBER(R108), 5/R108, 0),""), "")),"")</f>
        <v/>
      </c>
      <c r="I108" s="370" t="str">
        <f>IFERROR(IF(Active1=TRUE,HLOOKUP(Bird_Chronic[[#This Row],[Crop]],Input_Scenario,11,FALSE)*HLOOKUP(Bird_Chronic[[#This Row],[Crop]],Input_Scenario,8,FALSE)*Bird_Chronic[[#This Row],[SVm]],""),"")</f>
        <v/>
      </c>
      <c r="J108" s="370" t="str">
        <f>IFERROR(IF(ISNUMBER(INDEX(Active[B_NOAEL], 1)),
                          INDEX(Active[B_NOAEL], 1)/I108,""),"")</f>
        <v/>
      </c>
      <c r="K108" s="370" t="str">
        <f>IFERROR(IF(Active2=TRUE,HLOOKUP(Bird_Chronic[[#This Row],[Crop]],Input_Scenario,12,FALSE)*HLOOKUP(Bird_Chronic[[#This Row],[Crop]],Input_Scenario,8,FALSE)*Bird_Chronic[[#This Row],[SVm]],""),"")</f>
        <v/>
      </c>
      <c r="L108" s="370" t="str">
        <f>IFERROR(IF(ISNUMBER(INDEX(Active[B_NOAEL], 2)),
                          INDEX(Active[B_NOAEL], 2)/K108,""),"")</f>
        <v/>
      </c>
      <c r="M108" s="370" t="str">
        <f>IFERROR(IF(Active3=TRUE,HLOOKUP(Bird_Chronic[[#This Row],[Crop]],Input_Scenario,12,FALSE)*HLOOKUP(Bird_Chronic[[#This Row],[Crop]],Input_Scenario,8,FALSE)*Bird_Chronic[[#This Row],[SVm]],""),"")</f>
        <v/>
      </c>
      <c r="N108" s="370" t="str">
        <f>IFERROR(IF(ISNUMBER(INDEX(Active[B_NOAEL], 3)),
                          INDEX(Active[B_NOAEL], 3)/M108,""),"")</f>
        <v/>
      </c>
      <c r="O108" s="370" t="str">
        <f>IFERROR(IF(Active4=TRUE,HLOOKUP(Bird_Chronic[[#This Row],[Crop]],Input_Scenario,13,FALSE)*HLOOKUP(Bird_Chronic[[#This Row],[Crop]],Input_Scenario,8,FALSE)*Bird_Chronic[[#This Row],[SVm]],""),"")</f>
        <v/>
      </c>
      <c r="P108" s="370" t="str">
        <f>IFERROR(IF(ISNUMBER(INDEX(Active[B_NOAEL], 4)),
                          INDEX(Active[B_NOAEL], 4)/O108,""),"")</f>
        <v/>
      </c>
      <c r="Q108" s="370" t="str">
        <f>IFERROR(IF(Active5=TRUE,HLOOKUP(Bird_Chronic[[#This Row],[Crop]],Input_Scenario,14,FALSE)*HLOOKUP(Bird_Chronic[[#This Row],[Crop]],Input_Scenario,8,FALSE)*Bird_Chronic[[#This Row],[SVm]],""),"")</f>
        <v/>
      </c>
      <c r="R108" s="370" t="str">
        <f>IFERROR(IF(ISNUMBER(INDEX(Active[B_NOAEL], 5)),
                          INDEX(Active[B_NOAEL], 5)/Q108,""),"")</f>
        <v/>
      </c>
      <c r="S108" s="204"/>
      <c r="T108" s="56"/>
      <c r="U108" s="56"/>
      <c r="V108" s="56"/>
      <c r="W108" s="56"/>
      <c r="X108" s="56"/>
      <c r="Y108" s="56"/>
      <c r="Z108" s="56"/>
      <c r="AA108" s="56"/>
      <c r="AB108" s="56"/>
      <c r="AC108" s="56"/>
      <c r="AD108" s="56"/>
      <c r="AE108" s="56"/>
      <c r="AF108" s="56"/>
      <c r="AG108" s="56"/>
      <c r="AH108" s="56"/>
    </row>
    <row r="109" spans="1:34" s="106" customFormat="1" ht="16.5" customHeight="1">
      <c r="A109" s="56"/>
      <c r="B109" s="314" t="str">
        <f t="shared" ca="1" si="2"/>
        <v>No input</v>
      </c>
      <c r="C109" s="72" t="s">
        <v>167</v>
      </c>
      <c r="D109" s="73" t="s">
        <v>168</v>
      </c>
      <c r="E109" s="73" t="s">
        <v>227</v>
      </c>
      <c r="F109" s="113">
        <v>18.2</v>
      </c>
      <c r="G109" s="203" t="str">
        <f ca="1">IF(AND(Bird_Chronic[[#This Row],[Relevance]]="Input provided", Count&gt;=1),
       IF(B_ChronicScheme="C(mix)",
                 HLOOKUP(Bird_Chronic[[#This Row],[Crop]], Input_Scenario,10,FALSE)*Bird_Chronic[[#This Row],[SVm]]*HLOOKUP(Bird_Chronic[[#This Row],[Crop]],Input_Scenario,8,FALSE),""),"")</f>
        <v/>
      </c>
      <c r="H109" s="368" t="str">
        <f>IF(Count&gt;=1,
       IF(AND(B_ChronicScheme ="C(mix)", ISNUMBER(G109)), (B_NOAEL_form/G109),
       IF(AND(B_ChronicScheme = "HIsum", Count &gt; 1),
            IF(ISNUMBER(J109), IF(ISNUMBER(J109), 5/J109, 0) + IF(ISNUMBER(L109), 5/L109, 0) + IF(ISNUMBER(N109), 5/N109, 0) + IF(ISNUMBER(P109), 5/P109, 0) + IF(ISNUMBER(R109), 5/R109, 0),""), "")),"")</f>
        <v/>
      </c>
      <c r="I109" s="370" t="str">
        <f>IFERROR(IF(Active1=TRUE,HLOOKUP(Bird_Chronic[[#This Row],[Crop]],Input_Scenario,11,FALSE)*HLOOKUP(Bird_Chronic[[#This Row],[Crop]],Input_Scenario,8,FALSE)*Bird_Chronic[[#This Row],[SVm]],""),"")</f>
        <v/>
      </c>
      <c r="J109" s="370" t="str">
        <f>IFERROR(IF(ISNUMBER(INDEX(Active[B_NOAEL], 1)),
                          INDEX(Active[B_NOAEL], 1)/I109,""),"")</f>
        <v/>
      </c>
      <c r="K109" s="370" t="str">
        <f>IFERROR(IF(Active2=TRUE,HLOOKUP(Bird_Chronic[[#This Row],[Crop]],Input_Scenario,12,FALSE)*HLOOKUP(Bird_Chronic[[#This Row],[Crop]],Input_Scenario,8,FALSE)*Bird_Chronic[[#This Row],[SVm]],""),"")</f>
        <v/>
      </c>
      <c r="L109" s="370" t="str">
        <f>IFERROR(IF(ISNUMBER(INDEX(Active[B_NOAEL], 2)),
                          INDEX(Active[B_NOAEL], 2)/K109,""),"")</f>
        <v/>
      </c>
      <c r="M109" s="370" t="str">
        <f>IFERROR(IF(Active3=TRUE,HLOOKUP(Bird_Chronic[[#This Row],[Crop]],Input_Scenario,12,FALSE)*HLOOKUP(Bird_Chronic[[#This Row],[Crop]],Input_Scenario,8,FALSE)*Bird_Chronic[[#This Row],[SVm]],""),"")</f>
        <v/>
      </c>
      <c r="N109" s="370" t="str">
        <f>IFERROR(IF(ISNUMBER(INDEX(Active[B_NOAEL], 3)),
                          INDEX(Active[B_NOAEL], 3)/M109,""),"")</f>
        <v/>
      </c>
      <c r="O109" s="370" t="str">
        <f>IFERROR(IF(Active4=TRUE,HLOOKUP(Bird_Chronic[[#This Row],[Crop]],Input_Scenario,13,FALSE)*HLOOKUP(Bird_Chronic[[#This Row],[Crop]],Input_Scenario,8,FALSE)*Bird_Chronic[[#This Row],[SVm]],""),"")</f>
        <v/>
      </c>
      <c r="P109" s="370" t="str">
        <f>IFERROR(IF(ISNUMBER(INDEX(Active[B_NOAEL], 4)),
                          INDEX(Active[B_NOAEL], 4)/O109,""),"")</f>
        <v/>
      </c>
      <c r="Q109" s="370" t="str">
        <f>IFERROR(IF(Active5=TRUE,HLOOKUP(Bird_Chronic[[#This Row],[Crop]],Input_Scenario,14,FALSE)*HLOOKUP(Bird_Chronic[[#This Row],[Crop]],Input_Scenario,8,FALSE)*Bird_Chronic[[#This Row],[SVm]],""),"")</f>
        <v/>
      </c>
      <c r="R109" s="370" t="str">
        <f>IFERROR(IF(ISNUMBER(INDEX(Active[B_NOAEL], 5)),
                          INDEX(Active[B_NOAEL], 5)/Q109,""),"")</f>
        <v/>
      </c>
      <c r="S109" s="204"/>
      <c r="T109" s="56"/>
      <c r="U109" s="56"/>
      <c r="V109" s="56"/>
      <c r="W109" s="56"/>
      <c r="X109" s="56"/>
      <c r="Y109" s="56"/>
      <c r="Z109" s="56"/>
      <c r="AA109" s="56"/>
      <c r="AB109" s="56"/>
      <c r="AC109" s="56"/>
      <c r="AD109" s="56"/>
      <c r="AE109" s="56"/>
      <c r="AF109" s="56"/>
      <c r="AG109" s="56"/>
      <c r="AH109" s="56"/>
    </row>
    <row r="110" spans="1:34" s="106" customFormat="1" ht="16.5" customHeight="1">
      <c r="A110" s="56"/>
      <c r="B110" s="314" t="str">
        <f t="shared" ca="1" si="2"/>
        <v>No input</v>
      </c>
      <c r="C110" s="72" t="s">
        <v>167</v>
      </c>
      <c r="D110" s="73" t="s">
        <v>170</v>
      </c>
      <c r="E110" s="73" t="s">
        <v>228</v>
      </c>
      <c r="F110" s="113">
        <v>2.1</v>
      </c>
      <c r="G110" s="203" t="str">
        <f ca="1">IF(AND(Bird_Chronic[[#This Row],[Relevance]]="Input provided", Count&gt;=1),
       IF(B_ChronicScheme="C(mix)",
                 HLOOKUP(Bird_Chronic[[#This Row],[Crop]], Input_Scenario,10,FALSE)*Bird_Chronic[[#This Row],[SVm]]*HLOOKUP(Bird_Chronic[[#This Row],[Crop]],Input_Scenario,8,FALSE),""),"")</f>
        <v/>
      </c>
      <c r="H110" s="368" t="str">
        <f>IF(Count&gt;=1,
       IF(AND(B_ChronicScheme ="C(mix)", ISNUMBER(G110)), (B_NOAEL_form/G110),
       IF(AND(B_ChronicScheme = "HIsum", Count &gt; 1),
            IF(ISNUMBER(J110), IF(ISNUMBER(J110), 5/J110, 0) + IF(ISNUMBER(L110), 5/L110, 0) + IF(ISNUMBER(N110), 5/N110, 0) + IF(ISNUMBER(P110), 5/P110, 0) + IF(ISNUMBER(R110), 5/R110, 0),""), "")),"")</f>
        <v/>
      </c>
      <c r="I110" s="370" t="str">
        <f>IFERROR(IF(Active1=TRUE,HLOOKUP(Bird_Chronic[[#This Row],[Crop]],Input_Scenario,11,FALSE)*HLOOKUP(Bird_Chronic[[#This Row],[Crop]],Input_Scenario,8,FALSE)*Bird_Chronic[[#This Row],[SVm]],""),"")</f>
        <v/>
      </c>
      <c r="J110" s="370" t="str">
        <f>IFERROR(IF(ISNUMBER(INDEX(Active[B_NOAEL], 1)),
                          INDEX(Active[B_NOAEL], 1)/I110,""),"")</f>
        <v/>
      </c>
      <c r="K110" s="370" t="str">
        <f>IFERROR(IF(Active2=TRUE,HLOOKUP(Bird_Chronic[[#This Row],[Crop]],Input_Scenario,12,FALSE)*HLOOKUP(Bird_Chronic[[#This Row],[Crop]],Input_Scenario,8,FALSE)*Bird_Chronic[[#This Row],[SVm]],""),"")</f>
        <v/>
      </c>
      <c r="L110" s="370" t="str">
        <f>IFERROR(IF(ISNUMBER(INDEX(Active[B_NOAEL], 2)),
                          INDEX(Active[B_NOAEL], 2)/K110,""),"")</f>
        <v/>
      </c>
      <c r="M110" s="370" t="str">
        <f>IFERROR(IF(Active3=TRUE,HLOOKUP(Bird_Chronic[[#This Row],[Crop]],Input_Scenario,12,FALSE)*HLOOKUP(Bird_Chronic[[#This Row],[Crop]],Input_Scenario,8,FALSE)*Bird_Chronic[[#This Row],[SVm]],""),"")</f>
        <v/>
      </c>
      <c r="N110" s="370" t="str">
        <f>IFERROR(IF(ISNUMBER(INDEX(Active[B_NOAEL], 3)),
                          INDEX(Active[B_NOAEL], 3)/M110,""),"")</f>
        <v/>
      </c>
      <c r="O110" s="370" t="str">
        <f>IFERROR(IF(Active4=TRUE,HLOOKUP(Bird_Chronic[[#This Row],[Crop]],Input_Scenario,13,FALSE)*HLOOKUP(Bird_Chronic[[#This Row],[Crop]],Input_Scenario,8,FALSE)*Bird_Chronic[[#This Row],[SVm]],""),"")</f>
        <v/>
      </c>
      <c r="P110" s="370" t="str">
        <f>IFERROR(IF(ISNUMBER(INDEX(Active[B_NOAEL], 4)),
                          INDEX(Active[B_NOAEL], 4)/O110,""),"")</f>
        <v/>
      </c>
      <c r="Q110" s="370" t="str">
        <f>IFERROR(IF(Active5=TRUE,HLOOKUP(Bird_Chronic[[#This Row],[Crop]],Input_Scenario,14,FALSE)*HLOOKUP(Bird_Chronic[[#This Row],[Crop]],Input_Scenario,8,FALSE)*Bird_Chronic[[#This Row],[SVm]],""),"")</f>
        <v/>
      </c>
      <c r="R110" s="370" t="str">
        <f>IFERROR(IF(ISNUMBER(INDEX(Active[B_NOAEL], 5)),
                          INDEX(Active[B_NOAEL], 5)/Q110,""),"")</f>
        <v/>
      </c>
      <c r="S110" s="204"/>
      <c r="T110" s="56"/>
      <c r="U110" s="56"/>
      <c r="V110" s="56"/>
      <c r="W110" s="56"/>
      <c r="X110" s="56"/>
      <c r="Y110" s="56"/>
      <c r="Z110" s="56"/>
      <c r="AA110" s="56"/>
      <c r="AB110" s="56"/>
      <c r="AC110" s="56"/>
      <c r="AD110" s="56"/>
      <c r="AE110" s="56"/>
      <c r="AF110" s="56"/>
      <c r="AG110" s="56"/>
      <c r="AH110" s="56"/>
    </row>
    <row r="111" spans="1:34" s="106" customFormat="1" ht="16.5" customHeight="1">
      <c r="A111" s="56"/>
      <c r="B111" s="314" t="str">
        <f t="shared" ca="1" si="2"/>
        <v>No input</v>
      </c>
      <c r="C111" s="72" t="s">
        <v>167</v>
      </c>
      <c r="D111" s="73" t="s">
        <v>170</v>
      </c>
      <c r="E111" s="73" t="s">
        <v>209</v>
      </c>
      <c r="F111" s="113">
        <v>10.1</v>
      </c>
      <c r="G111" s="203" t="str">
        <f ca="1">IF(AND(Bird_Chronic[[#This Row],[Relevance]]="Input provided", Count&gt;=1),
       IF(B_ChronicScheme="C(mix)",
                 HLOOKUP(Bird_Chronic[[#This Row],[Crop]], Input_Scenario,10,FALSE)*Bird_Chronic[[#This Row],[SVm]]*HLOOKUP(Bird_Chronic[[#This Row],[Crop]],Input_Scenario,8,FALSE),""),"")</f>
        <v/>
      </c>
      <c r="H111" s="368" t="str">
        <f>IF(Count&gt;=1,
       IF(AND(B_ChronicScheme ="C(mix)", ISNUMBER(G111)), (B_NOAEL_form/G111),
       IF(AND(B_ChronicScheme = "HIsum", Count &gt; 1),
            IF(ISNUMBER(J111), IF(ISNUMBER(J111), 5/J111, 0) + IF(ISNUMBER(L111), 5/L111, 0) + IF(ISNUMBER(N111), 5/N111, 0) + IF(ISNUMBER(P111), 5/P111, 0) + IF(ISNUMBER(R111), 5/R111, 0),""), "")),"")</f>
        <v/>
      </c>
      <c r="I111" s="370" t="str">
        <f>IFERROR(IF(Active1=TRUE,HLOOKUP(Bird_Chronic[[#This Row],[Crop]],Input_Scenario,11,FALSE)*HLOOKUP(Bird_Chronic[[#This Row],[Crop]],Input_Scenario,8,FALSE)*Bird_Chronic[[#This Row],[SVm]],""),"")</f>
        <v/>
      </c>
      <c r="J111" s="370" t="str">
        <f>IFERROR(IF(ISNUMBER(INDEX(Active[B_NOAEL], 1)),
                          INDEX(Active[B_NOAEL], 1)/I111,""),"")</f>
        <v/>
      </c>
      <c r="K111" s="370" t="str">
        <f>IFERROR(IF(Active2=TRUE,HLOOKUP(Bird_Chronic[[#This Row],[Crop]],Input_Scenario,12,FALSE)*HLOOKUP(Bird_Chronic[[#This Row],[Crop]],Input_Scenario,8,FALSE)*Bird_Chronic[[#This Row],[SVm]],""),"")</f>
        <v/>
      </c>
      <c r="L111" s="370" t="str">
        <f>IFERROR(IF(ISNUMBER(INDEX(Active[B_NOAEL], 2)),
                          INDEX(Active[B_NOAEL], 2)/K111,""),"")</f>
        <v/>
      </c>
      <c r="M111" s="370" t="str">
        <f>IFERROR(IF(Active3=TRUE,HLOOKUP(Bird_Chronic[[#This Row],[Crop]],Input_Scenario,12,FALSE)*HLOOKUP(Bird_Chronic[[#This Row],[Crop]],Input_Scenario,8,FALSE)*Bird_Chronic[[#This Row],[SVm]],""),"")</f>
        <v/>
      </c>
      <c r="N111" s="370" t="str">
        <f>IFERROR(IF(ISNUMBER(INDEX(Active[B_NOAEL], 3)),
                          INDEX(Active[B_NOAEL], 3)/M111,""),"")</f>
        <v/>
      </c>
      <c r="O111" s="370" t="str">
        <f>IFERROR(IF(Active4=TRUE,HLOOKUP(Bird_Chronic[[#This Row],[Crop]],Input_Scenario,13,FALSE)*HLOOKUP(Bird_Chronic[[#This Row],[Crop]],Input_Scenario,8,FALSE)*Bird_Chronic[[#This Row],[SVm]],""),"")</f>
        <v/>
      </c>
      <c r="P111" s="370" t="str">
        <f>IFERROR(IF(ISNUMBER(INDEX(Active[B_NOAEL], 4)),
                          INDEX(Active[B_NOAEL], 4)/O111,""),"")</f>
        <v/>
      </c>
      <c r="Q111" s="370" t="str">
        <f>IFERROR(IF(Active5=TRUE,HLOOKUP(Bird_Chronic[[#This Row],[Crop]],Input_Scenario,14,FALSE)*HLOOKUP(Bird_Chronic[[#This Row],[Crop]],Input_Scenario,8,FALSE)*Bird_Chronic[[#This Row],[SVm]],""),"")</f>
        <v/>
      </c>
      <c r="R111" s="370" t="str">
        <f>IFERROR(IF(ISNUMBER(INDEX(Active[B_NOAEL], 5)),
                          INDEX(Active[B_NOAEL], 5)/Q111,""),"")</f>
        <v/>
      </c>
      <c r="S111" s="204"/>
      <c r="T111" s="56"/>
      <c r="U111" s="56"/>
      <c r="V111" s="56"/>
      <c r="W111" s="56"/>
      <c r="X111" s="56"/>
      <c r="Y111" s="56"/>
      <c r="Z111" s="56"/>
      <c r="AA111" s="56"/>
      <c r="AB111" s="56"/>
      <c r="AC111" s="56"/>
      <c r="AD111" s="56"/>
      <c r="AE111" s="56"/>
      <c r="AF111" s="56"/>
      <c r="AG111" s="56"/>
      <c r="AH111" s="56"/>
    </row>
    <row r="112" spans="1:34" s="106" customFormat="1" ht="16.5" customHeight="1">
      <c r="A112" s="56"/>
      <c r="B112" s="314" t="str">
        <f t="shared" ca="1" si="2"/>
        <v>No input</v>
      </c>
      <c r="C112" s="72" t="s">
        <v>167</v>
      </c>
      <c r="D112" s="73" t="s">
        <v>172</v>
      </c>
      <c r="E112" s="73" t="s">
        <v>228</v>
      </c>
      <c r="F112" s="113">
        <v>1.6</v>
      </c>
      <c r="G112" s="203" t="str">
        <f ca="1">IF(AND(Bird_Chronic[[#This Row],[Relevance]]="Input provided", Count&gt;=1),
       IF(B_ChronicScheme="C(mix)",
                 HLOOKUP(Bird_Chronic[[#This Row],[Crop]], Input_Scenario,10,FALSE)*Bird_Chronic[[#This Row],[SVm]]*HLOOKUP(Bird_Chronic[[#This Row],[Crop]],Input_Scenario,8,FALSE),""),"")</f>
        <v/>
      </c>
      <c r="H112" s="368" t="str">
        <f>IF(Count&gt;=1,
       IF(AND(B_ChronicScheme ="C(mix)", ISNUMBER(G112)), (B_NOAEL_form/G112),
       IF(AND(B_ChronicScheme = "HIsum", Count &gt; 1),
            IF(ISNUMBER(J112), IF(ISNUMBER(J112), 5/J112, 0) + IF(ISNUMBER(L112), 5/L112, 0) + IF(ISNUMBER(N112), 5/N112, 0) + IF(ISNUMBER(P112), 5/P112, 0) + IF(ISNUMBER(R112), 5/R112, 0),""), "")),"")</f>
        <v/>
      </c>
      <c r="I112" s="370" t="str">
        <f>IFERROR(IF(Active1=TRUE,HLOOKUP(Bird_Chronic[[#This Row],[Crop]],Input_Scenario,11,FALSE)*HLOOKUP(Bird_Chronic[[#This Row],[Crop]],Input_Scenario,8,FALSE)*Bird_Chronic[[#This Row],[SVm]],""),"")</f>
        <v/>
      </c>
      <c r="J112" s="370" t="str">
        <f>IFERROR(IF(ISNUMBER(INDEX(Active[B_NOAEL], 1)),
                          INDEX(Active[B_NOAEL], 1)/I112,""),"")</f>
        <v/>
      </c>
      <c r="K112" s="370" t="str">
        <f>IFERROR(IF(Active2=TRUE,HLOOKUP(Bird_Chronic[[#This Row],[Crop]],Input_Scenario,12,FALSE)*HLOOKUP(Bird_Chronic[[#This Row],[Crop]],Input_Scenario,8,FALSE)*Bird_Chronic[[#This Row],[SVm]],""),"")</f>
        <v/>
      </c>
      <c r="L112" s="370" t="str">
        <f>IFERROR(IF(ISNUMBER(INDEX(Active[B_NOAEL], 2)),
                          INDEX(Active[B_NOAEL], 2)/K112,""),"")</f>
        <v/>
      </c>
      <c r="M112" s="370" t="str">
        <f>IFERROR(IF(Active3=TRUE,HLOOKUP(Bird_Chronic[[#This Row],[Crop]],Input_Scenario,12,FALSE)*HLOOKUP(Bird_Chronic[[#This Row],[Crop]],Input_Scenario,8,FALSE)*Bird_Chronic[[#This Row],[SVm]],""),"")</f>
        <v/>
      </c>
      <c r="N112" s="370" t="str">
        <f>IFERROR(IF(ISNUMBER(INDEX(Active[B_NOAEL], 3)),
                          INDEX(Active[B_NOAEL], 3)/M112,""),"")</f>
        <v/>
      </c>
      <c r="O112" s="370" t="str">
        <f>IFERROR(IF(Active4=TRUE,HLOOKUP(Bird_Chronic[[#This Row],[Crop]],Input_Scenario,13,FALSE)*HLOOKUP(Bird_Chronic[[#This Row],[Crop]],Input_Scenario,8,FALSE)*Bird_Chronic[[#This Row],[SVm]],""),"")</f>
        <v/>
      </c>
      <c r="P112" s="370" t="str">
        <f>IFERROR(IF(ISNUMBER(INDEX(Active[B_NOAEL], 4)),
                          INDEX(Active[B_NOAEL], 4)/O112,""),"")</f>
        <v/>
      </c>
      <c r="Q112" s="370" t="str">
        <f>IFERROR(IF(Active5=TRUE,HLOOKUP(Bird_Chronic[[#This Row],[Crop]],Input_Scenario,14,FALSE)*HLOOKUP(Bird_Chronic[[#This Row],[Crop]],Input_Scenario,8,FALSE)*Bird_Chronic[[#This Row],[SVm]],""),"")</f>
        <v/>
      </c>
      <c r="R112" s="370" t="str">
        <f>IFERROR(IF(ISNUMBER(INDEX(Active[B_NOAEL], 5)),
                          INDEX(Active[B_NOAEL], 5)/Q112,""),"")</f>
        <v/>
      </c>
      <c r="S112" s="204"/>
      <c r="T112" s="56"/>
      <c r="U112" s="56"/>
      <c r="V112" s="56"/>
      <c r="W112" s="56"/>
      <c r="X112" s="56"/>
      <c r="Y112" s="56"/>
      <c r="Z112" s="56"/>
      <c r="AA112" s="56"/>
      <c r="AB112" s="56"/>
      <c r="AC112" s="56"/>
      <c r="AD112" s="56"/>
      <c r="AE112" s="56"/>
      <c r="AF112" s="56"/>
      <c r="AG112" s="56"/>
      <c r="AH112" s="56"/>
    </row>
    <row r="113" spans="1:34" s="106" customFormat="1" ht="16.5" customHeight="1">
      <c r="A113" s="56"/>
      <c r="B113" s="314" t="str">
        <f t="shared" ca="1" si="2"/>
        <v>No input</v>
      </c>
      <c r="C113" s="72" t="s">
        <v>167</v>
      </c>
      <c r="D113" s="73" t="s">
        <v>172</v>
      </c>
      <c r="E113" s="73" t="s">
        <v>209</v>
      </c>
      <c r="F113" s="113">
        <v>7.6</v>
      </c>
      <c r="G113" s="203" t="str">
        <f ca="1">IF(AND(Bird_Chronic[[#This Row],[Relevance]]="Input provided", Count&gt;=1),
       IF(B_ChronicScheme="C(mix)",
                 HLOOKUP(Bird_Chronic[[#This Row],[Crop]], Input_Scenario,10,FALSE)*Bird_Chronic[[#This Row],[SVm]]*HLOOKUP(Bird_Chronic[[#This Row],[Crop]],Input_Scenario,8,FALSE),""),"")</f>
        <v/>
      </c>
      <c r="H113" s="368" t="str">
        <f>IF(Count&gt;=1,
       IF(AND(B_ChronicScheme ="C(mix)", ISNUMBER(G113)), (B_NOAEL_form/G113),
       IF(AND(B_ChronicScheme = "HIsum", Count &gt; 1),
            IF(ISNUMBER(J113), IF(ISNUMBER(J113), 5/J113, 0) + IF(ISNUMBER(L113), 5/L113, 0) + IF(ISNUMBER(N113), 5/N113, 0) + IF(ISNUMBER(P113), 5/P113, 0) + IF(ISNUMBER(R113), 5/R113, 0),""), "")),"")</f>
        <v/>
      </c>
      <c r="I113" s="370" t="str">
        <f>IFERROR(IF(Active1=TRUE,HLOOKUP(Bird_Chronic[[#This Row],[Crop]],Input_Scenario,11,FALSE)*HLOOKUP(Bird_Chronic[[#This Row],[Crop]],Input_Scenario,8,FALSE)*Bird_Chronic[[#This Row],[SVm]],""),"")</f>
        <v/>
      </c>
      <c r="J113" s="370" t="str">
        <f>IFERROR(IF(ISNUMBER(INDEX(Active[B_NOAEL], 1)),
                          INDEX(Active[B_NOAEL], 1)/I113,""),"")</f>
        <v/>
      </c>
      <c r="K113" s="370" t="str">
        <f>IFERROR(IF(Active2=TRUE,HLOOKUP(Bird_Chronic[[#This Row],[Crop]],Input_Scenario,12,FALSE)*HLOOKUP(Bird_Chronic[[#This Row],[Crop]],Input_Scenario,8,FALSE)*Bird_Chronic[[#This Row],[SVm]],""),"")</f>
        <v/>
      </c>
      <c r="L113" s="370" t="str">
        <f>IFERROR(IF(ISNUMBER(INDEX(Active[B_NOAEL], 2)),
                          INDEX(Active[B_NOAEL], 2)/K113,""),"")</f>
        <v/>
      </c>
      <c r="M113" s="370" t="str">
        <f>IFERROR(IF(Active3=TRUE,HLOOKUP(Bird_Chronic[[#This Row],[Crop]],Input_Scenario,12,FALSE)*HLOOKUP(Bird_Chronic[[#This Row],[Crop]],Input_Scenario,8,FALSE)*Bird_Chronic[[#This Row],[SVm]],""),"")</f>
        <v/>
      </c>
      <c r="N113" s="370" t="str">
        <f>IFERROR(IF(ISNUMBER(INDEX(Active[B_NOAEL], 3)),
                          INDEX(Active[B_NOAEL], 3)/M113,""),"")</f>
        <v/>
      </c>
      <c r="O113" s="370" t="str">
        <f>IFERROR(IF(Active4=TRUE,HLOOKUP(Bird_Chronic[[#This Row],[Crop]],Input_Scenario,13,FALSE)*HLOOKUP(Bird_Chronic[[#This Row],[Crop]],Input_Scenario,8,FALSE)*Bird_Chronic[[#This Row],[SVm]],""),"")</f>
        <v/>
      </c>
      <c r="P113" s="370" t="str">
        <f>IFERROR(IF(ISNUMBER(INDEX(Active[B_NOAEL], 4)),
                          INDEX(Active[B_NOAEL], 4)/O113,""),"")</f>
        <v/>
      </c>
      <c r="Q113" s="370" t="str">
        <f>IFERROR(IF(Active5=TRUE,HLOOKUP(Bird_Chronic[[#This Row],[Crop]],Input_Scenario,14,FALSE)*HLOOKUP(Bird_Chronic[[#This Row],[Crop]],Input_Scenario,8,FALSE)*Bird_Chronic[[#This Row],[SVm]],""),"")</f>
        <v/>
      </c>
      <c r="R113" s="370" t="str">
        <f>IFERROR(IF(ISNUMBER(INDEX(Active[B_NOAEL], 5)),
                          INDEX(Active[B_NOAEL], 5)/Q113,""),"")</f>
        <v/>
      </c>
      <c r="S113" s="204"/>
      <c r="T113" s="56"/>
      <c r="U113" s="56"/>
      <c r="V113" s="56"/>
      <c r="W113" s="56"/>
      <c r="X113" s="56"/>
      <c r="Y113" s="56"/>
      <c r="Z113" s="56"/>
      <c r="AA113" s="56"/>
      <c r="AB113" s="56"/>
      <c r="AC113" s="56"/>
      <c r="AD113" s="56"/>
      <c r="AE113" s="56"/>
      <c r="AF113" s="56"/>
      <c r="AG113" s="56"/>
      <c r="AH113" s="56"/>
    </row>
    <row r="114" spans="1:34" s="106" customFormat="1" ht="16.5" customHeight="1">
      <c r="A114" s="56"/>
      <c r="B114" s="314" t="str">
        <f t="shared" ca="1" si="2"/>
        <v>No input</v>
      </c>
      <c r="C114" s="72" t="s">
        <v>167</v>
      </c>
      <c r="D114" s="73" t="s">
        <v>173</v>
      </c>
      <c r="E114" s="73" t="s">
        <v>228</v>
      </c>
      <c r="F114" s="113">
        <v>0.8</v>
      </c>
      <c r="G114" s="203" t="str">
        <f ca="1">IF(AND(Bird_Chronic[[#This Row],[Relevance]]="Input provided", Count&gt;=1),
       IF(B_ChronicScheme="C(mix)",
                 HLOOKUP(Bird_Chronic[[#This Row],[Crop]], Input_Scenario,10,FALSE)*Bird_Chronic[[#This Row],[SVm]]*HLOOKUP(Bird_Chronic[[#This Row],[Crop]],Input_Scenario,8,FALSE),""),"")</f>
        <v/>
      </c>
      <c r="H114" s="368" t="str">
        <f>IF(Count&gt;=1,
       IF(AND(B_ChronicScheme ="C(mix)", ISNUMBER(G114)), (B_NOAEL_form/G114),
       IF(AND(B_ChronicScheme = "HIsum", Count &gt; 1),
            IF(ISNUMBER(J114), IF(ISNUMBER(J114), 5/J114, 0) + IF(ISNUMBER(L114), 5/L114, 0) + IF(ISNUMBER(N114), 5/N114, 0) + IF(ISNUMBER(P114), 5/P114, 0) + IF(ISNUMBER(R114), 5/R114, 0),""), "")),"")</f>
        <v/>
      </c>
      <c r="I114" s="370" t="str">
        <f>IFERROR(IF(Active1=TRUE,HLOOKUP(Bird_Chronic[[#This Row],[Crop]],Input_Scenario,11,FALSE)*HLOOKUP(Bird_Chronic[[#This Row],[Crop]],Input_Scenario,8,FALSE)*Bird_Chronic[[#This Row],[SVm]],""),"")</f>
        <v/>
      </c>
      <c r="J114" s="370" t="str">
        <f>IFERROR(IF(ISNUMBER(INDEX(Active[B_NOAEL], 1)),
                          INDEX(Active[B_NOAEL], 1)/I114,""),"")</f>
        <v/>
      </c>
      <c r="K114" s="370" t="str">
        <f>IFERROR(IF(Active2=TRUE,HLOOKUP(Bird_Chronic[[#This Row],[Crop]],Input_Scenario,12,FALSE)*HLOOKUP(Bird_Chronic[[#This Row],[Crop]],Input_Scenario,8,FALSE)*Bird_Chronic[[#This Row],[SVm]],""),"")</f>
        <v/>
      </c>
      <c r="L114" s="370" t="str">
        <f>IFERROR(IF(ISNUMBER(INDEX(Active[B_NOAEL], 2)),
                          INDEX(Active[B_NOAEL], 2)/K114,""),"")</f>
        <v/>
      </c>
      <c r="M114" s="370" t="str">
        <f>IFERROR(IF(Active3=TRUE,HLOOKUP(Bird_Chronic[[#This Row],[Crop]],Input_Scenario,12,FALSE)*HLOOKUP(Bird_Chronic[[#This Row],[Crop]],Input_Scenario,8,FALSE)*Bird_Chronic[[#This Row],[SVm]],""),"")</f>
        <v/>
      </c>
      <c r="N114" s="370" t="str">
        <f>IFERROR(IF(ISNUMBER(INDEX(Active[B_NOAEL], 3)),
                          INDEX(Active[B_NOAEL], 3)/M114,""),"")</f>
        <v/>
      </c>
      <c r="O114" s="370" t="str">
        <f>IFERROR(IF(Active4=TRUE,HLOOKUP(Bird_Chronic[[#This Row],[Crop]],Input_Scenario,13,FALSE)*HLOOKUP(Bird_Chronic[[#This Row],[Crop]],Input_Scenario,8,FALSE)*Bird_Chronic[[#This Row],[SVm]],""),"")</f>
        <v/>
      </c>
      <c r="P114" s="370" t="str">
        <f>IFERROR(IF(ISNUMBER(INDEX(Active[B_NOAEL], 4)),
                          INDEX(Active[B_NOAEL], 4)/O114,""),"")</f>
        <v/>
      </c>
      <c r="Q114" s="370" t="str">
        <f>IFERROR(IF(Active5=TRUE,HLOOKUP(Bird_Chronic[[#This Row],[Crop]],Input_Scenario,14,FALSE)*HLOOKUP(Bird_Chronic[[#This Row],[Crop]],Input_Scenario,8,FALSE)*Bird_Chronic[[#This Row],[SVm]],""),"")</f>
        <v/>
      </c>
      <c r="R114" s="370" t="str">
        <f>IFERROR(IF(ISNUMBER(INDEX(Active[B_NOAEL], 5)),
                          INDEX(Active[B_NOAEL], 5)/Q114,""),"")</f>
        <v/>
      </c>
      <c r="S114" s="204"/>
      <c r="T114" s="56"/>
      <c r="U114" s="56"/>
      <c r="V114" s="56"/>
      <c r="W114" s="56"/>
      <c r="X114" s="56"/>
      <c r="Y114" s="56"/>
      <c r="Z114" s="56"/>
      <c r="AA114" s="56"/>
      <c r="AB114" s="56"/>
      <c r="AC114" s="56"/>
      <c r="AD114" s="56"/>
      <c r="AE114" s="56"/>
      <c r="AF114" s="56"/>
      <c r="AG114" s="56"/>
      <c r="AH114" s="56"/>
    </row>
    <row r="115" spans="1:34" s="106" customFormat="1" ht="16.5" customHeight="1">
      <c r="A115" s="56"/>
      <c r="B115" s="314" t="str">
        <f t="shared" ca="1" si="2"/>
        <v>No input</v>
      </c>
      <c r="C115" s="72" t="s">
        <v>167</v>
      </c>
      <c r="D115" s="73" t="s">
        <v>173</v>
      </c>
      <c r="E115" s="73" t="s">
        <v>209</v>
      </c>
      <c r="F115" s="113">
        <v>3.8</v>
      </c>
      <c r="G115" s="203" t="str">
        <f ca="1">IF(AND(Bird_Chronic[[#This Row],[Relevance]]="Input provided", Count&gt;=1),
       IF(B_ChronicScheme="C(mix)",
                 HLOOKUP(Bird_Chronic[[#This Row],[Crop]], Input_Scenario,10,FALSE)*Bird_Chronic[[#This Row],[SVm]]*HLOOKUP(Bird_Chronic[[#This Row],[Crop]],Input_Scenario,8,FALSE),""),"")</f>
        <v/>
      </c>
      <c r="H115" s="368" t="str">
        <f>IF(Count&gt;=1,
       IF(AND(B_ChronicScheme ="C(mix)", ISNUMBER(G115)), (B_NOAEL_form/G115),
       IF(AND(B_ChronicScheme = "HIsum", Count &gt; 1),
            IF(ISNUMBER(J115), IF(ISNUMBER(J115), 5/J115, 0) + IF(ISNUMBER(L115), 5/L115, 0) + IF(ISNUMBER(N115), 5/N115, 0) + IF(ISNUMBER(P115), 5/P115, 0) + IF(ISNUMBER(R115), 5/R115, 0),""), "")),"")</f>
        <v/>
      </c>
      <c r="I115" s="370" t="str">
        <f>IFERROR(IF(Active1=TRUE,HLOOKUP(Bird_Chronic[[#This Row],[Crop]],Input_Scenario,11,FALSE)*HLOOKUP(Bird_Chronic[[#This Row],[Crop]],Input_Scenario,8,FALSE)*Bird_Chronic[[#This Row],[SVm]],""),"")</f>
        <v/>
      </c>
      <c r="J115" s="370" t="str">
        <f>IFERROR(IF(ISNUMBER(INDEX(Active[B_NOAEL], 1)),
                          INDEX(Active[B_NOAEL], 1)/I115,""),"")</f>
        <v/>
      </c>
      <c r="K115" s="370" t="str">
        <f>IFERROR(IF(Active2=TRUE,HLOOKUP(Bird_Chronic[[#This Row],[Crop]],Input_Scenario,12,FALSE)*HLOOKUP(Bird_Chronic[[#This Row],[Crop]],Input_Scenario,8,FALSE)*Bird_Chronic[[#This Row],[SVm]],""),"")</f>
        <v/>
      </c>
      <c r="L115" s="370" t="str">
        <f>IFERROR(IF(ISNUMBER(INDEX(Active[B_NOAEL], 2)),
                          INDEX(Active[B_NOAEL], 2)/K115,""),"")</f>
        <v/>
      </c>
      <c r="M115" s="370" t="str">
        <f>IFERROR(IF(Active3=TRUE,HLOOKUP(Bird_Chronic[[#This Row],[Crop]],Input_Scenario,12,FALSE)*HLOOKUP(Bird_Chronic[[#This Row],[Crop]],Input_Scenario,8,FALSE)*Bird_Chronic[[#This Row],[SVm]],""),"")</f>
        <v/>
      </c>
      <c r="N115" s="370" t="str">
        <f>IFERROR(IF(ISNUMBER(INDEX(Active[B_NOAEL], 3)),
                          INDEX(Active[B_NOAEL], 3)/M115,""),"")</f>
        <v/>
      </c>
      <c r="O115" s="370" t="str">
        <f>IFERROR(IF(Active4=TRUE,HLOOKUP(Bird_Chronic[[#This Row],[Crop]],Input_Scenario,13,FALSE)*HLOOKUP(Bird_Chronic[[#This Row],[Crop]],Input_Scenario,8,FALSE)*Bird_Chronic[[#This Row],[SVm]],""),"")</f>
        <v/>
      </c>
      <c r="P115" s="370" t="str">
        <f>IFERROR(IF(ISNUMBER(INDEX(Active[B_NOAEL], 4)),
                          INDEX(Active[B_NOAEL], 4)/O115,""),"")</f>
        <v/>
      </c>
      <c r="Q115" s="370" t="str">
        <f>IFERROR(IF(Active5=TRUE,HLOOKUP(Bird_Chronic[[#This Row],[Crop]],Input_Scenario,14,FALSE)*HLOOKUP(Bird_Chronic[[#This Row],[Crop]],Input_Scenario,8,FALSE)*Bird_Chronic[[#This Row],[SVm]],""),"")</f>
        <v/>
      </c>
      <c r="R115" s="370" t="str">
        <f>IFERROR(IF(ISNUMBER(INDEX(Active[B_NOAEL], 5)),
                          INDEX(Active[B_NOAEL], 5)/Q115,""),"")</f>
        <v/>
      </c>
      <c r="S115" s="204"/>
      <c r="T115" s="56"/>
      <c r="U115" s="56"/>
      <c r="V115" s="56"/>
      <c r="W115" s="56"/>
      <c r="X115" s="56"/>
      <c r="Y115" s="56"/>
      <c r="Z115" s="56"/>
      <c r="AA115" s="56"/>
      <c r="AB115" s="56"/>
      <c r="AC115" s="56"/>
      <c r="AD115" s="56"/>
      <c r="AE115" s="56"/>
      <c r="AF115" s="56"/>
      <c r="AG115" s="56"/>
      <c r="AH115" s="56"/>
    </row>
    <row r="116" spans="1:34" s="106" customFormat="1" ht="16.5" customHeight="1">
      <c r="A116" s="56"/>
      <c r="B116" s="314" t="str">
        <f t="shared" ca="1" si="2"/>
        <v>No input</v>
      </c>
      <c r="C116" s="72" t="s">
        <v>167</v>
      </c>
      <c r="D116" s="73" t="s">
        <v>174</v>
      </c>
      <c r="E116" s="73" t="s">
        <v>228</v>
      </c>
      <c r="F116" s="113">
        <v>2.7</v>
      </c>
      <c r="G116" s="203" t="str">
        <f ca="1">IF(AND(Bird_Chronic[[#This Row],[Relevance]]="Input provided", Count&gt;=1),
       IF(B_ChronicScheme="C(mix)",
                 HLOOKUP(Bird_Chronic[[#This Row],[Crop]], Input_Scenario,10,FALSE)*Bird_Chronic[[#This Row],[SVm]]*HLOOKUP(Bird_Chronic[[#This Row],[Crop]],Input_Scenario,8,FALSE),""),"")</f>
        <v/>
      </c>
      <c r="H116" s="368" t="str">
        <f>IF(Count&gt;=1,
       IF(AND(B_ChronicScheme ="C(mix)", ISNUMBER(G116)), (B_NOAEL_form/G116),
       IF(AND(B_ChronicScheme = "HIsum", Count &gt; 1),
            IF(ISNUMBER(J116), IF(ISNUMBER(J116), 5/J116, 0) + IF(ISNUMBER(L116), 5/L116, 0) + IF(ISNUMBER(N116), 5/N116, 0) + IF(ISNUMBER(P116), 5/P116, 0) + IF(ISNUMBER(R116), 5/R116, 0),""), "")),"")</f>
        <v/>
      </c>
      <c r="I116" s="370" t="str">
        <f>IFERROR(IF(Active1=TRUE,HLOOKUP(Bird_Chronic[[#This Row],[Crop]],Input_Scenario,11,FALSE)*HLOOKUP(Bird_Chronic[[#This Row],[Crop]],Input_Scenario,8,FALSE)*Bird_Chronic[[#This Row],[SVm]],""),"")</f>
        <v/>
      </c>
      <c r="J116" s="370" t="str">
        <f>IFERROR(IF(ISNUMBER(INDEX(Active[B_NOAEL], 1)),
                          INDEX(Active[B_NOAEL], 1)/I116,""),"")</f>
        <v/>
      </c>
      <c r="K116" s="370" t="str">
        <f>IFERROR(IF(Active2=TRUE,HLOOKUP(Bird_Chronic[[#This Row],[Crop]],Input_Scenario,12,FALSE)*HLOOKUP(Bird_Chronic[[#This Row],[Crop]],Input_Scenario,8,FALSE)*Bird_Chronic[[#This Row],[SVm]],""),"")</f>
        <v/>
      </c>
      <c r="L116" s="370" t="str">
        <f>IFERROR(IF(ISNUMBER(INDEX(Active[B_NOAEL], 2)),
                          INDEX(Active[B_NOAEL], 2)/K116,""),"")</f>
        <v/>
      </c>
      <c r="M116" s="370" t="str">
        <f>IFERROR(IF(Active3=TRUE,HLOOKUP(Bird_Chronic[[#This Row],[Crop]],Input_Scenario,12,FALSE)*HLOOKUP(Bird_Chronic[[#This Row],[Crop]],Input_Scenario,8,FALSE)*Bird_Chronic[[#This Row],[SVm]],""),"")</f>
        <v/>
      </c>
      <c r="N116" s="370" t="str">
        <f>IFERROR(IF(ISNUMBER(INDEX(Active[B_NOAEL], 3)),
                          INDEX(Active[B_NOAEL], 3)/M116,""),"")</f>
        <v/>
      </c>
      <c r="O116" s="370" t="str">
        <f>IFERROR(IF(Active4=TRUE,HLOOKUP(Bird_Chronic[[#This Row],[Crop]],Input_Scenario,13,FALSE)*HLOOKUP(Bird_Chronic[[#This Row],[Crop]],Input_Scenario,8,FALSE)*Bird_Chronic[[#This Row],[SVm]],""),"")</f>
        <v/>
      </c>
      <c r="P116" s="370" t="str">
        <f>IFERROR(IF(ISNUMBER(INDEX(Active[B_NOAEL], 4)),
                          INDEX(Active[B_NOAEL], 4)/O116,""),"")</f>
        <v/>
      </c>
      <c r="Q116" s="370" t="str">
        <f>IFERROR(IF(Active5=TRUE,HLOOKUP(Bird_Chronic[[#This Row],[Crop]],Input_Scenario,14,FALSE)*HLOOKUP(Bird_Chronic[[#This Row],[Crop]],Input_Scenario,8,FALSE)*Bird_Chronic[[#This Row],[SVm]],""),"")</f>
        <v/>
      </c>
      <c r="R116" s="370" t="str">
        <f>IFERROR(IF(ISNUMBER(INDEX(Active[B_NOAEL], 5)),
                          INDEX(Active[B_NOAEL], 5)/Q116,""),"")</f>
        <v/>
      </c>
      <c r="S116" s="204"/>
      <c r="T116" s="56"/>
      <c r="U116" s="56"/>
      <c r="V116" s="56"/>
      <c r="W116" s="56"/>
      <c r="X116" s="56"/>
      <c r="Y116" s="56"/>
      <c r="Z116" s="56"/>
      <c r="AA116" s="56"/>
      <c r="AB116" s="56"/>
      <c r="AC116" s="56"/>
      <c r="AD116" s="56"/>
      <c r="AE116" s="56"/>
      <c r="AF116" s="56"/>
      <c r="AG116" s="56"/>
      <c r="AH116" s="56"/>
    </row>
    <row r="117" spans="1:34" s="106" customFormat="1" ht="16.5" customHeight="1">
      <c r="A117" s="56"/>
      <c r="B117" s="314" t="str">
        <f t="shared" ca="1" si="2"/>
        <v>No input</v>
      </c>
      <c r="C117" s="72" t="s">
        <v>167</v>
      </c>
      <c r="D117" s="73" t="s">
        <v>174</v>
      </c>
      <c r="E117" s="73" t="s">
        <v>209</v>
      </c>
      <c r="F117" s="113">
        <v>12.6</v>
      </c>
      <c r="G117" s="203" t="str">
        <f ca="1">IF(AND(Bird_Chronic[[#This Row],[Relevance]]="Input provided", Count&gt;=1),
       IF(B_ChronicScheme="C(mix)",
                 HLOOKUP(Bird_Chronic[[#This Row],[Crop]], Input_Scenario,10,FALSE)*Bird_Chronic[[#This Row],[SVm]]*HLOOKUP(Bird_Chronic[[#This Row],[Crop]],Input_Scenario,8,FALSE),""),"")</f>
        <v/>
      </c>
      <c r="H117" s="368" t="str">
        <f>IF(Count&gt;=1,
       IF(AND(B_ChronicScheme ="C(mix)", ISNUMBER(G117)), (B_NOAEL_form/G117),
       IF(AND(B_ChronicScheme = "HIsum", Count &gt; 1),
            IF(ISNUMBER(J117), IF(ISNUMBER(J117), 5/J117, 0) + IF(ISNUMBER(L117), 5/L117, 0) + IF(ISNUMBER(N117), 5/N117, 0) + IF(ISNUMBER(P117), 5/P117, 0) + IF(ISNUMBER(R117), 5/R117, 0),""), "")),"")</f>
        <v/>
      </c>
      <c r="I117" s="370" t="str">
        <f>IFERROR(IF(Active1=TRUE,HLOOKUP(Bird_Chronic[[#This Row],[Crop]],Input_Scenario,11,FALSE)*HLOOKUP(Bird_Chronic[[#This Row],[Crop]],Input_Scenario,8,FALSE)*Bird_Chronic[[#This Row],[SVm]],""),"")</f>
        <v/>
      </c>
      <c r="J117" s="370" t="str">
        <f>IFERROR(IF(ISNUMBER(INDEX(Active[B_NOAEL], 1)),
                          INDEX(Active[B_NOAEL], 1)/I117,""),"")</f>
        <v/>
      </c>
      <c r="K117" s="370" t="str">
        <f>IFERROR(IF(Active2=TRUE,HLOOKUP(Bird_Chronic[[#This Row],[Crop]],Input_Scenario,12,FALSE)*HLOOKUP(Bird_Chronic[[#This Row],[Crop]],Input_Scenario,8,FALSE)*Bird_Chronic[[#This Row],[SVm]],""),"")</f>
        <v/>
      </c>
      <c r="L117" s="370" t="str">
        <f>IFERROR(IF(ISNUMBER(INDEX(Active[B_NOAEL], 2)),
                          INDEX(Active[B_NOAEL], 2)/K117,""),"")</f>
        <v/>
      </c>
      <c r="M117" s="370" t="str">
        <f>IFERROR(IF(Active3=TRUE,HLOOKUP(Bird_Chronic[[#This Row],[Crop]],Input_Scenario,12,FALSE)*HLOOKUP(Bird_Chronic[[#This Row],[Crop]],Input_Scenario,8,FALSE)*Bird_Chronic[[#This Row],[SVm]],""),"")</f>
        <v/>
      </c>
      <c r="N117" s="370" t="str">
        <f>IFERROR(IF(ISNUMBER(INDEX(Active[B_NOAEL], 3)),
                          INDEX(Active[B_NOAEL], 3)/M117,""),"")</f>
        <v/>
      </c>
      <c r="O117" s="370" t="str">
        <f>IFERROR(IF(Active4=TRUE,HLOOKUP(Bird_Chronic[[#This Row],[Crop]],Input_Scenario,13,FALSE)*HLOOKUP(Bird_Chronic[[#This Row],[Crop]],Input_Scenario,8,FALSE)*Bird_Chronic[[#This Row],[SVm]],""),"")</f>
        <v/>
      </c>
      <c r="P117" s="370" t="str">
        <f>IFERROR(IF(ISNUMBER(INDEX(Active[B_NOAEL], 4)),
                          INDEX(Active[B_NOAEL], 4)/O117,""),"")</f>
        <v/>
      </c>
      <c r="Q117" s="370" t="str">
        <f>IFERROR(IF(Active5=TRUE,HLOOKUP(Bird_Chronic[[#This Row],[Crop]],Input_Scenario,14,FALSE)*HLOOKUP(Bird_Chronic[[#This Row],[Crop]],Input_Scenario,8,FALSE)*Bird_Chronic[[#This Row],[SVm]],""),"")</f>
        <v/>
      </c>
      <c r="R117" s="370" t="str">
        <f>IFERROR(IF(ISNUMBER(INDEX(Active[B_NOAEL], 5)),
                          INDEX(Active[B_NOAEL], 5)/Q117,""),"")</f>
        <v/>
      </c>
      <c r="S117" s="204"/>
      <c r="T117" s="56"/>
      <c r="U117" s="56"/>
      <c r="V117" s="56"/>
      <c r="W117" s="56"/>
      <c r="X117" s="56"/>
      <c r="Y117" s="56"/>
      <c r="Z117" s="56"/>
      <c r="AA117" s="56"/>
      <c r="AB117" s="56"/>
      <c r="AC117" s="56"/>
      <c r="AD117" s="56"/>
      <c r="AE117" s="56"/>
      <c r="AF117" s="56"/>
      <c r="AG117" s="56"/>
      <c r="AH117" s="56"/>
    </row>
    <row r="118" spans="1:34" s="106" customFormat="1" ht="16.5" customHeight="1">
      <c r="A118" s="56"/>
      <c r="B118" s="314" t="str">
        <f t="shared" ca="1" si="2"/>
        <v>No input</v>
      </c>
      <c r="C118" s="72" t="s">
        <v>175</v>
      </c>
      <c r="D118" s="73" t="s">
        <v>176</v>
      </c>
      <c r="E118" s="73" t="s">
        <v>227</v>
      </c>
      <c r="F118" s="113">
        <v>18.2</v>
      </c>
      <c r="G118" s="203" t="str">
        <f ca="1">IF(AND(Bird_Chronic[[#This Row],[Relevance]]="Input provided", Count&gt;=1),
       IF(B_ChronicScheme="C(mix)",
                 HLOOKUP(Bird_Chronic[[#This Row],[Crop]], Input_Scenario,10,FALSE)*Bird_Chronic[[#This Row],[SVm]]*HLOOKUP(Bird_Chronic[[#This Row],[Crop]],Input_Scenario,8,FALSE),""),"")</f>
        <v/>
      </c>
      <c r="H118" s="368" t="str">
        <f>IF(Count&gt;=1,
       IF(AND(B_ChronicScheme ="C(mix)", ISNUMBER(G118)), (B_NOAEL_form/G118),
       IF(AND(B_ChronicScheme = "HIsum", Count &gt; 1),
            IF(ISNUMBER(J118), IF(ISNUMBER(J118), 5/J118, 0) + IF(ISNUMBER(L118), 5/L118, 0) + IF(ISNUMBER(N118), 5/N118, 0) + IF(ISNUMBER(P118), 5/P118, 0) + IF(ISNUMBER(R118), 5/R118, 0),""), "")),"")</f>
        <v/>
      </c>
      <c r="I118" s="370" t="str">
        <f>IFERROR(IF(Active1=TRUE,HLOOKUP(Bird_Chronic[[#This Row],[Crop]],Input_Scenario,11,FALSE)*HLOOKUP(Bird_Chronic[[#This Row],[Crop]],Input_Scenario,8,FALSE)*Bird_Chronic[[#This Row],[SVm]],""),"")</f>
        <v/>
      </c>
      <c r="J118" s="370" t="str">
        <f>IFERROR(IF(ISNUMBER(INDEX(Active[B_NOAEL], 1)),
                          INDEX(Active[B_NOAEL], 1)/I118,""),"")</f>
        <v/>
      </c>
      <c r="K118" s="370" t="str">
        <f>IFERROR(IF(Active2=TRUE,HLOOKUP(Bird_Chronic[[#This Row],[Crop]],Input_Scenario,12,FALSE)*HLOOKUP(Bird_Chronic[[#This Row],[Crop]],Input_Scenario,8,FALSE)*Bird_Chronic[[#This Row],[SVm]],""),"")</f>
        <v/>
      </c>
      <c r="L118" s="370" t="str">
        <f>IFERROR(IF(ISNUMBER(INDEX(Active[B_NOAEL], 2)),
                          INDEX(Active[B_NOAEL], 2)/K118,""),"")</f>
        <v/>
      </c>
      <c r="M118" s="370" t="str">
        <f>IFERROR(IF(Active3=TRUE,HLOOKUP(Bird_Chronic[[#This Row],[Crop]],Input_Scenario,12,FALSE)*HLOOKUP(Bird_Chronic[[#This Row],[Crop]],Input_Scenario,8,FALSE)*Bird_Chronic[[#This Row],[SVm]],""),"")</f>
        <v/>
      </c>
      <c r="N118" s="370" t="str">
        <f>IFERROR(IF(ISNUMBER(INDEX(Active[B_NOAEL], 3)),
                          INDEX(Active[B_NOAEL], 3)/M118,""),"")</f>
        <v/>
      </c>
      <c r="O118" s="370" t="str">
        <f>IFERROR(IF(Active4=TRUE,HLOOKUP(Bird_Chronic[[#This Row],[Crop]],Input_Scenario,13,FALSE)*HLOOKUP(Bird_Chronic[[#This Row],[Crop]],Input_Scenario,8,FALSE)*Bird_Chronic[[#This Row],[SVm]],""),"")</f>
        <v/>
      </c>
      <c r="P118" s="370" t="str">
        <f>IFERROR(IF(ISNUMBER(INDEX(Active[B_NOAEL], 4)),
                          INDEX(Active[B_NOAEL], 4)/O118,""),"")</f>
        <v/>
      </c>
      <c r="Q118" s="370" t="str">
        <f>IFERROR(IF(Active5=TRUE,HLOOKUP(Bird_Chronic[[#This Row],[Crop]],Input_Scenario,14,FALSE)*HLOOKUP(Bird_Chronic[[#This Row],[Crop]],Input_Scenario,8,FALSE)*Bird_Chronic[[#This Row],[SVm]],""),"")</f>
        <v/>
      </c>
      <c r="R118" s="370" t="str">
        <f>IFERROR(IF(ISNUMBER(INDEX(Active[B_NOAEL], 5)),
                          INDEX(Active[B_NOAEL], 5)/Q118,""),"")</f>
        <v/>
      </c>
      <c r="S118" s="204"/>
      <c r="T118" s="56"/>
      <c r="U118" s="56"/>
      <c r="V118" s="56"/>
      <c r="W118" s="56"/>
      <c r="X118" s="56"/>
      <c r="Y118" s="56"/>
      <c r="Z118" s="56"/>
      <c r="AA118" s="56"/>
      <c r="AB118" s="56"/>
      <c r="AC118" s="56"/>
      <c r="AD118" s="56"/>
      <c r="AE118" s="56"/>
      <c r="AF118" s="56"/>
      <c r="AG118" s="56"/>
      <c r="AH118" s="56"/>
    </row>
    <row r="119" spans="1:34" s="106" customFormat="1" ht="16.5" customHeight="1">
      <c r="A119" s="56"/>
      <c r="B119" s="314" t="str">
        <f t="shared" ca="1" si="2"/>
        <v>No input</v>
      </c>
      <c r="C119" s="72" t="s">
        <v>175</v>
      </c>
      <c r="D119" s="73" t="s">
        <v>177</v>
      </c>
      <c r="E119" s="73" t="s">
        <v>228</v>
      </c>
      <c r="F119" s="113">
        <v>2.7</v>
      </c>
      <c r="G119" s="203" t="str">
        <f ca="1">IF(AND(Bird_Chronic[[#This Row],[Relevance]]="Input provided", Count&gt;=1),
       IF(B_ChronicScheme="C(mix)",
                 HLOOKUP(Bird_Chronic[[#This Row],[Crop]], Input_Scenario,10,FALSE)*Bird_Chronic[[#This Row],[SVm]]*HLOOKUP(Bird_Chronic[[#This Row],[Crop]],Input_Scenario,8,FALSE),""),"")</f>
        <v/>
      </c>
      <c r="H119" s="368" t="str">
        <f>IF(Count&gt;=1,
       IF(AND(B_ChronicScheme ="C(mix)", ISNUMBER(G119)), (B_NOAEL_form/G119),
       IF(AND(B_ChronicScheme = "HIsum", Count &gt; 1),
            IF(ISNUMBER(J119), IF(ISNUMBER(J119), 5/J119, 0) + IF(ISNUMBER(L119), 5/L119, 0) + IF(ISNUMBER(N119), 5/N119, 0) + IF(ISNUMBER(P119), 5/P119, 0) + IF(ISNUMBER(R119), 5/R119, 0),""), "")),"")</f>
        <v/>
      </c>
      <c r="I119" s="370" t="str">
        <f>IFERROR(IF(Active1=TRUE,HLOOKUP(Bird_Chronic[[#This Row],[Crop]],Input_Scenario,11,FALSE)*HLOOKUP(Bird_Chronic[[#This Row],[Crop]],Input_Scenario,8,FALSE)*Bird_Chronic[[#This Row],[SVm]],""),"")</f>
        <v/>
      </c>
      <c r="J119" s="370" t="str">
        <f>IFERROR(IF(ISNUMBER(INDEX(Active[B_NOAEL], 1)),
                          INDEX(Active[B_NOAEL], 1)/I119,""),"")</f>
        <v/>
      </c>
      <c r="K119" s="370" t="str">
        <f>IFERROR(IF(Active2=TRUE,HLOOKUP(Bird_Chronic[[#This Row],[Crop]],Input_Scenario,12,FALSE)*HLOOKUP(Bird_Chronic[[#This Row],[Crop]],Input_Scenario,8,FALSE)*Bird_Chronic[[#This Row],[SVm]],""),"")</f>
        <v/>
      </c>
      <c r="L119" s="370" t="str">
        <f>IFERROR(IF(ISNUMBER(INDEX(Active[B_NOAEL], 2)),
                          INDEX(Active[B_NOAEL], 2)/K119,""),"")</f>
        <v/>
      </c>
      <c r="M119" s="370" t="str">
        <f>IFERROR(IF(Active3=TRUE,HLOOKUP(Bird_Chronic[[#This Row],[Crop]],Input_Scenario,12,FALSE)*HLOOKUP(Bird_Chronic[[#This Row],[Crop]],Input_Scenario,8,FALSE)*Bird_Chronic[[#This Row],[SVm]],""),"")</f>
        <v/>
      </c>
      <c r="N119" s="370" t="str">
        <f>IFERROR(IF(ISNUMBER(INDEX(Active[B_NOAEL], 3)),
                          INDEX(Active[B_NOAEL], 3)/M119,""),"")</f>
        <v/>
      </c>
      <c r="O119" s="370" t="str">
        <f>IFERROR(IF(Active4=TRUE,HLOOKUP(Bird_Chronic[[#This Row],[Crop]],Input_Scenario,13,FALSE)*HLOOKUP(Bird_Chronic[[#This Row],[Crop]],Input_Scenario,8,FALSE)*Bird_Chronic[[#This Row],[SVm]],""),"")</f>
        <v/>
      </c>
      <c r="P119" s="370" t="str">
        <f>IFERROR(IF(ISNUMBER(INDEX(Active[B_NOAEL], 4)),
                          INDEX(Active[B_NOAEL], 4)/O119,""),"")</f>
        <v/>
      </c>
      <c r="Q119" s="370" t="str">
        <f>IFERROR(IF(Active5=TRUE,HLOOKUP(Bird_Chronic[[#This Row],[Crop]],Input_Scenario,14,FALSE)*HLOOKUP(Bird_Chronic[[#This Row],[Crop]],Input_Scenario,8,FALSE)*Bird_Chronic[[#This Row],[SVm]],""),"")</f>
        <v/>
      </c>
      <c r="R119" s="370" t="str">
        <f>IFERROR(IF(ISNUMBER(INDEX(Active[B_NOAEL], 5)),
                          INDEX(Active[B_NOAEL], 5)/Q119,""),"")</f>
        <v/>
      </c>
      <c r="S119" s="204"/>
      <c r="T119" s="56"/>
      <c r="U119" s="56"/>
      <c r="V119" s="56"/>
      <c r="W119" s="56"/>
      <c r="X119" s="56"/>
      <c r="Y119" s="56"/>
      <c r="Z119" s="56"/>
      <c r="AA119" s="56"/>
      <c r="AB119" s="56"/>
      <c r="AC119" s="56"/>
      <c r="AD119" s="56"/>
      <c r="AE119" s="56"/>
      <c r="AF119" s="56"/>
      <c r="AG119" s="56"/>
      <c r="AH119" s="56"/>
    </row>
    <row r="120" spans="1:34" s="106" customFormat="1" ht="16.5" customHeight="1">
      <c r="A120" s="56"/>
      <c r="B120" s="314" t="str">
        <f t="shared" ca="1" si="2"/>
        <v>No input</v>
      </c>
      <c r="C120" s="72" t="s">
        <v>178</v>
      </c>
      <c r="D120" s="73" t="s">
        <v>108</v>
      </c>
      <c r="E120" s="73" t="s">
        <v>211</v>
      </c>
      <c r="F120" s="113">
        <v>11.3</v>
      </c>
      <c r="G120" s="203" t="str">
        <f ca="1">IF(AND(Bird_Chronic[[#This Row],[Relevance]]="Input provided", Count&gt;=1),
       IF(B_ChronicScheme="C(mix)",
                 HLOOKUP(Bird_Chronic[[#This Row],[Crop]], Input_Scenario,10,FALSE)*Bird_Chronic[[#This Row],[SVm]]*HLOOKUP(Bird_Chronic[[#This Row],[Crop]],Input_Scenario,8,FALSE),""),"")</f>
        <v/>
      </c>
      <c r="H120" s="368" t="str">
        <f>IF(Count&gt;=1,
       IF(AND(B_ChronicScheme ="C(mix)", ISNUMBER(G120)), (B_NOAEL_form/G120),
       IF(AND(B_ChronicScheme = "HIsum", Count &gt; 1),
            IF(ISNUMBER(J120), IF(ISNUMBER(J120), 5/J120, 0) + IF(ISNUMBER(L120), 5/L120, 0) + IF(ISNUMBER(N120), 5/N120, 0) + IF(ISNUMBER(P120), 5/P120, 0) + IF(ISNUMBER(R120), 5/R120, 0),""), "")),"")</f>
        <v/>
      </c>
      <c r="I120" s="370" t="str">
        <f>IFERROR(IF(Active1=TRUE,HLOOKUP(Bird_Chronic[[#This Row],[Crop]],Input_Scenario,11,FALSE)*HLOOKUP(Bird_Chronic[[#This Row],[Crop]],Input_Scenario,8,FALSE)*Bird_Chronic[[#This Row],[SVm]],""),"")</f>
        <v/>
      </c>
      <c r="J120" s="370" t="str">
        <f>IFERROR(IF(ISNUMBER(INDEX(Active[B_NOAEL], 1)),
                          INDEX(Active[B_NOAEL], 1)/I120,""),"")</f>
        <v/>
      </c>
      <c r="K120" s="370" t="str">
        <f>IFERROR(IF(Active2=TRUE,HLOOKUP(Bird_Chronic[[#This Row],[Crop]],Input_Scenario,12,FALSE)*HLOOKUP(Bird_Chronic[[#This Row],[Crop]],Input_Scenario,8,FALSE)*Bird_Chronic[[#This Row],[SVm]],""),"")</f>
        <v/>
      </c>
      <c r="L120" s="370" t="str">
        <f>IFERROR(IF(ISNUMBER(INDEX(Active[B_NOAEL], 2)),
                          INDEX(Active[B_NOAEL], 2)/K120,""),"")</f>
        <v/>
      </c>
      <c r="M120" s="370" t="str">
        <f>IFERROR(IF(Active3=TRUE,HLOOKUP(Bird_Chronic[[#This Row],[Crop]],Input_Scenario,12,FALSE)*HLOOKUP(Bird_Chronic[[#This Row],[Crop]],Input_Scenario,8,FALSE)*Bird_Chronic[[#This Row],[SVm]],""),"")</f>
        <v/>
      </c>
      <c r="N120" s="370" t="str">
        <f>IFERROR(IF(ISNUMBER(INDEX(Active[B_NOAEL], 3)),
                          INDEX(Active[B_NOAEL], 3)/M120,""),"")</f>
        <v/>
      </c>
      <c r="O120" s="370" t="str">
        <f>IFERROR(IF(Active4=TRUE,HLOOKUP(Bird_Chronic[[#This Row],[Crop]],Input_Scenario,13,FALSE)*HLOOKUP(Bird_Chronic[[#This Row],[Crop]],Input_Scenario,8,FALSE)*Bird_Chronic[[#This Row],[SVm]],""),"")</f>
        <v/>
      </c>
      <c r="P120" s="370" t="str">
        <f>IFERROR(IF(ISNUMBER(INDEX(Active[B_NOAEL], 4)),
                          INDEX(Active[B_NOAEL], 4)/O120,""),"")</f>
        <v/>
      </c>
      <c r="Q120" s="370" t="str">
        <f>IFERROR(IF(Active5=TRUE,HLOOKUP(Bird_Chronic[[#This Row],[Crop]],Input_Scenario,14,FALSE)*HLOOKUP(Bird_Chronic[[#This Row],[Crop]],Input_Scenario,8,FALSE)*Bird_Chronic[[#This Row],[SVm]],""),"")</f>
        <v/>
      </c>
      <c r="R120" s="370" t="str">
        <f>IFERROR(IF(ISNUMBER(INDEX(Active[B_NOAEL], 5)),
                          INDEX(Active[B_NOAEL], 5)/Q120,""),"")</f>
        <v/>
      </c>
      <c r="S120" s="204"/>
      <c r="T120" s="56"/>
      <c r="U120" s="56"/>
      <c r="V120" s="56"/>
      <c r="W120" s="56"/>
      <c r="X120" s="56"/>
      <c r="Y120" s="56"/>
      <c r="Z120" s="56"/>
      <c r="AA120" s="56"/>
      <c r="AB120" s="56"/>
      <c r="AC120" s="56"/>
      <c r="AD120" s="56"/>
      <c r="AE120" s="56"/>
      <c r="AF120" s="56"/>
      <c r="AG120" s="56"/>
      <c r="AH120" s="56"/>
    </row>
    <row r="121" spans="1:34" s="106" customFormat="1" ht="16.5" customHeight="1">
      <c r="A121" s="56"/>
      <c r="B121" s="314" t="str">
        <f t="shared" ca="1" si="2"/>
        <v>No input</v>
      </c>
      <c r="C121" s="72" t="s">
        <v>178</v>
      </c>
      <c r="D121" s="73" t="s">
        <v>110</v>
      </c>
      <c r="E121" s="73" t="s">
        <v>210</v>
      </c>
      <c r="F121" s="113">
        <v>10.9</v>
      </c>
      <c r="G121" s="203" t="str">
        <f ca="1">IF(AND(Bird_Chronic[[#This Row],[Relevance]]="Input provided", Count&gt;=1),
       IF(B_ChronicScheme="C(mix)",
                 HLOOKUP(Bird_Chronic[[#This Row],[Crop]], Input_Scenario,10,FALSE)*Bird_Chronic[[#This Row],[SVm]]*HLOOKUP(Bird_Chronic[[#This Row],[Crop]],Input_Scenario,8,FALSE),""),"")</f>
        <v/>
      </c>
      <c r="H121" s="368" t="str">
        <f>IF(Count&gt;=1,
       IF(AND(B_ChronicScheme ="C(mix)", ISNUMBER(G121)), (B_NOAEL_form/G121),
       IF(AND(B_ChronicScheme = "HIsum", Count &gt; 1),
            IF(ISNUMBER(J121), IF(ISNUMBER(J121), 5/J121, 0) + IF(ISNUMBER(L121), 5/L121, 0) + IF(ISNUMBER(N121), 5/N121, 0) + IF(ISNUMBER(P121), 5/P121, 0) + IF(ISNUMBER(R121), 5/R121, 0),""), "")),"")</f>
        <v/>
      </c>
      <c r="I121" s="370" t="str">
        <f>IFERROR(IF(Active1=TRUE,HLOOKUP(Bird_Chronic[[#This Row],[Crop]],Input_Scenario,11,FALSE)*HLOOKUP(Bird_Chronic[[#This Row],[Crop]],Input_Scenario,8,FALSE)*Bird_Chronic[[#This Row],[SVm]],""),"")</f>
        <v/>
      </c>
      <c r="J121" s="370" t="str">
        <f>IFERROR(IF(ISNUMBER(INDEX(Active[B_NOAEL], 1)),
                          INDEX(Active[B_NOAEL], 1)/I121,""),"")</f>
        <v/>
      </c>
      <c r="K121" s="370" t="str">
        <f>IFERROR(IF(Active2=TRUE,HLOOKUP(Bird_Chronic[[#This Row],[Crop]],Input_Scenario,12,FALSE)*HLOOKUP(Bird_Chronic[[#This Row],[Crop]],Input_Scenario,8,FALSE)*Bird_Chronic[[#This Row],[SVm]],""),"")</f>
        <v/>
      </c>
      <c r="L121" s="370" t="str">
        <f>IFERROR(IF(ISNUMBER(INDEX(Active[B_NOAEL], 2)),
                          INDEX(Active[B_NOAEL], 2)/K121,""),"")</f>
        <v/>
      </c>
      <c r="M121" s="370" t="str">
        <f>IFERROR(IF(Active3=TRUE,HLOOKUP(Bird_Chronic[[#This Row],[Crop]],Input_Scenario,12,FALSE)*HLOOKUP(Bird_Chronic[[#This Row],[Crop]],Input_Scenario,8,FALSE)*Bird_Chronic[[#This Row],[SVm]],""),"")</f>
        <v/>
      </c>
      <c r="N121" s="370" t="str">
        <f>IFERROR(IF(ISNUMBER(INDEX(Active[B_NOAEL], 3)),
                          INDEX(Active[B_NOAEL], 3)/M121,""),"")</f>
        <v/>
      </c>
      <c r="O121" s="370" t="str">
        <f>IFERROR(IF(Active4=TRUE,HLOOKUP(Bird_Chronic[[#This Row],[Crop]],Input_Scenario,13,FALSE)*HLOOKUP(Bird_Chronic[[#This Row],[Crop]],Input_Scenario,8,FALSE)*Bird_Chronic[[#This Row],[SVm]],""),"")</f>
        <v/>
      </c>
      <c r="P121" s="370" t="str">
        <f>IFERROR(IF(ISNUMBER(INDEX(Active[B_NOAEL], 4)),
                          INDEX(Active[B_NOAEL], 4)/O121,""),"")</f>
        <v/>
      </c>
      <c r="Q121" s="370" t="str">
        <f>IFERROR(IF(Active5=TRUE,HLOOKUP(Bird_Chronic[[#This Row],[Crop]],Input_Scenario,14,FALSE)*HLOOKUP(Bird_Chronic[[#This Row],[Crop]],Input_Scenario,8,FALSE)*Bird_Chronic[[#This Row],[SVm]],""),"")</f>
        <v/>
      </c>
      <c r="R121" s="370" t="str">
        <f>IFERROR(IF(ISNUMBER(INDEX(Active[B_NOAEL], 5)),
                          INDEX(Active[B_NOAEL], 5)/Q121,""),"")</f>
        <v/>
      </c>
      <c r="S121" s="204"/>
      <c r="T121" s="56"/>
      <c r="U121" s="56"/>
      <c r="V121" s="56"/>
      <c r="W121" s="56"/>
      <c r="X121" s="56"/>
      <c r="Y121" s="56"/>
      <c r="Z121" s="56"/>
      <c r="AA121" s="56"/>
      <c r="AB121" s="56"/>
      <c r="AC121" s="56"/>
      <c r="AD121" s="56"/>
      <c r="AE121" s="56"/>
      <c r="AF121" s="56"/>
      <c r="AG121" s="56"/>
      <c r="AH121" s="56"/>
    </row>
    <row r="122" spans="1:34" s="106" customFormat="1" ht="16.5" customHeight="1">
      <c r="A122" s="56"/>
      <c r="B122" s="314" t="str">
        <f t="shared" ca="1" si="2"/>
        <v>No input</v>
      </c>
      <c r="C122" s="72" t="s">
        <v>178</v>
      </c>
      <c r="D122" s="73" t="s">
        <v>111</v>
      </c>
      <c r="E122" s="73" t="s">
        <v>211</v>
      </c>
      <c r="F122" s="113">
        <v>9.6999999999999993</v>
      </c>
      <c r="G122" s="203" t="str">
        <f ca="1">IF(AND(Bird_Chronic[[#This Row],[Relevance]]="Input provided", Count&gt;=1),
       IF(B_ChronicScheme="C(mix)",
                 HLOOKUP(Bird_Chronic[[#This Row],[Crop]], Input_Scenario,10,FALSE)*Bird_Chronic[[#This Row],[SVm]]*HLOOKUP(Bird_Chronic[[#This Row],[Crop]],Input_Scenario,8,FALSE),""),"")</f>
        <v/>
      </c>
      <c r="H122" s="368" t="str">
        <f>IF(Count&gt;=1,
       IF(AND(B_ChronicScheme ="C(mix)", ISNUMBER(G122)), (B_NOAEL_form/G122),
       IF(AND(B_ChronicScheme = "HIsum", Count &gt; 1),
            IF(ISNUMBER(J122), IF(ISNUMBER(J122), 5/J122, 0) + IF(ISNUMBER(L122), 5/L122, 0) + IF(ISNUMBER(N122), 5/N122, 0) + IF(ISNUMBER(P122), 5/P122, 0) + IF(ISNUMBER(R122), 5/R122, 0),""), "")),"")</f>
        <v/>
      </c>
      <c r="I122" s="370" t="str">
        <f>IFERROR(IF(Active1=TRUE,HLOOKUP(Bird_Chronic[[#This Row],[Crop]],Input_Scenario,11,FALSE)*HLOOKUP(Bird_Chronic[[#This Row],[Crop]],Input_Scenario,8,FALSE)*Bird_Chronic[[#This Row],[SVm]],""),"")</f>
        <v/>
      </c>
      <c r="J122" s="370" t="str">
        <f>IFERROR(IF(ISNUMBER(INDEX(Active[B_NOAEL], 1)),
                          INDEX(Active[B_NOAEL], 1)/I122,""),"")</f>
        <v/>
      </c>
      <c r="K122" s="370" t="str">
        <f>IFERROR(IF(Active2=TRUE,HLOOKUP(Bird_Chronic[[#This Row],[Crop]],Input_Scenario,12,FALSE)*HLOOKUP(Bird_Chronic[[#This Row],[Crop]],Input_Scenario,8,FALSE)*Bird_Chronic[[#This Row],[SVm]],""),"")</f>
        <v/>
      </c>
      <c r="L122" s="370" t="str">
        <f>IFERROR(IF(ISNUMBER(INDEX(Active[B_NOAEL], 2)),
                          INDEX(Active[B_NOAEL], 2)/K122,""),"")</f>
        <v/>
      </c>
      <c r="M122" s="370" t="str">
        <f>IFERROR(IF(Active3=TRUE,HLOOKUP(Bird_Chronic[[#This Row],[Crop]],Input_Scenario,12,FALSE)*HLOOKUP(Bird_Chronic[[#This Row],[Crop]],Input_Scenario,8,FALSE)*Bird_Chronic[[#This Row],[SVm]],""),"")</f>
        <v/>
      </c>
      <c r="N122" s="370" t="str">
        <f>IFERROR(IF(ISNUMBER(INDEX(Active[B_NOAEL], 3)),
                          INDEX(Active[B_NOAEL], 3)/M122,""),"")</f>
        <v/>
      </c>
      <c r="O122" s="370" t="str">
        <f>IFERROR(IF(Active4=TRUE,HLOOKUP(Bird_Chronic[[#This Row],[Crop]],Input_Scenario,13,FALSE)*HLOOKUP(Bird_Chronic[[#This Row],[Crop]],Input_Scenario,8,FALSE)*Bird_Chronic[[#This Row],[SVm]],""),"")</f>
        <v/>
      </c>
      <c r="P122" s="370" t="str">
        <f>IFERROR(IF(ISNUMBER(INDEX(Active[B_NOAEL], 4)),
                          INDEX(Active[B_NOAEL], 4)/O122,""),"")</f>
        <v/>
      </c>
      <c r="Q122" s="370" t="str">
        <f>IFERROR(IF(Active5=TRUE,HLOOKUP(Bird_Chronic[[#This Row],[Crop]],Input_Scenario,14,FALSE)*HLOOKUP(Bird_Chronic[[#This Row],[Crop]],Input_Scenario,8,FALSE)*Bird_Chronic[[#This Row],[SVm]],""),"")</f>
        <v/>
      </c>
      <c r="R122" s="370" t="str">
        <f>IFERROR(IF(ISNUMBER(INDEX(Active[B_NOAEL], 5)),
                          INDEX(Active[B_NOAEL], 5)/Q122,""),"")</f>
        <v/>
      </c>
      <c r="S122" s="204"/>
      <c r="T122" s="56"/>
      <c r="U122" s="56"/>
      <c r="V122" s="56"/>
      <c r="W122" s="56"/>
      <c r="X122" s="56"/>
      <c r="Y122" s="56"/>
      <c r="Z122" s="56"/>
      <c r="AA122" s="56"/>
      <c r="AB122" s="56"/>
      <c r="AC122" s="56"/>
      <c r="AD122" s="56"/>
      <c r="AE122" s="56"/>
      <c r="AF122" s="56"/>
      <c r="AG122" s="56"/>
      <c r="AH122" s="56"/>
    </row>
    <row r="123" spans="1:34" s="106" customFormat="1" ht="16.5" customHeight="1">
      <c r="A123" s="56"/>
      <c r="B123" s="314" t="str">
        <f t="shared" ca="1" si="2"/>
        <v>No input</v>
      </c>
      <c r="C123" s="72" t="s">
        <v>178</v>
      </c>
      <c r="D123" s="73" t="s">
        <v>109</v>
      </c>
      <c r="E123" s="73" t="s">
        <v>210</v>
      </c>
      <c r="F123" s="113">
        <v>3.3</v>
      </c>
      <c r="G123" s="203" t="str">
        <f ca="1">IF(AND(Bird_Chronic[[#This Row],[Relevance]]="Input provided", Count&gt;=1),
       IF(B_ChronicScheme="C(mix)",
                 HLOOKUP(Bird_Chronic[[#This Row],[Crop]], Input_Scenario,10,FALSE)*Bird_Chronic[[#This Row],[SVm]]*HLOOKUP(Bird_Chronic[[#This Row],[Crop]],Input_Scenario,8,FALSE),""),"")</f>
        <v/>
      </c>
      <c r="H123" s="368" t="str">
        <f>IF(Count&gt;=1,
       IF(AND(B_ChronicScheme ="C(mix)", ISNUMBER(G123)), (B_NOAEL_form/G123),
       IF(AND(B_ChronicScheme = "HIsum", Count &gt; 1),
            IF(ISNUMBER(J123), IF(ISNUMBER(J123), 5/J123, 0) + IF(ISNUMBER(L123), 5/L123, 0) + IF(ISNUMBER(N123), 5/N123, 0) + IF(ISNUMBER(P123), 5/P123, 0) + IF(ISNUMBER(R123), 5/R123, 0),""), "")),"")</f>
        <v/>
      </c>
      <c r="I123" s="370" t="str">
        <f>IFERROR(IF(Active1=TRUE,HLOOKUP(Bird_Chronic[[#This Row],[Crop]],Input_Scenario,11,FALSE)*HLOOKUP(Bird_Chronic[[#This Row],[Crop]],Input_Scenario,8,FALSE)*Bird_Chronic[[#This Row],[SVm]],""),"")</f>
        <v/>
      </c>
      <c r="J123" s="370" t="str">
        <f>IFERROR(IF(ISNUMBER(INDEX(Active[B_NOAEL], 1)),
                          INDEX(Active[B_NOAEL], 1)/I123,""),"")</f>
        <v/>
      </c>
      <c r="K123" s="370" t="str">
        <f>IFERROR(IF(Active2=TRUE,HLOOKUP(Bird_Chronic[[#This Row],[Crop]],Input_Scenario,12,FALSE)*HLOOKUP(Bird_Chronic[[#This Row],[Crop]],Input_Scenario,8,FALSE)*Bird_Chronic[[#This Row],[SVm]],""),"")</f>
        <v/>
      </c>
      <c r="L123" s="370" t="str">
        <f>IFERROR(IF(ISNUMBER(INDEX(Active[B_NOAEL], 2)),
                          INDEX(Active[B_NOAEL], 2)/K123,""),"")</f>
        <v/>
      </c>
      <c r="M123" s="370" t="str">
        <f>IFERROR(IF(Active3=TRUE,HLOOKUP(Bird_Chronic[[#This Row],[Crop]],Input_Scenario,12,FALSE)*HLOOKUP(Bird_Chronic[[#This Row],[Crop]],Input_Scenario,8,FALSE)*Bird_Chronic[[#This Row],[SVm]],""),"")</f>
        <v/>
      </c>
      <c r="N123" s="370" t="str">
        <f>IFERROR(IF(ISNUMBER(INDEX(Active[B_NOAEL], 3)),
                          INDEX(Active[B_NOAEL], 3)/M123,""),"")</f>
        <v/>
      </c>
      <c r="O123" s="370" t="str">
        <f>IFERROR(IF(Active4=TRUE,HLOOKUP(Bird_Chronic[[#This Row],[Crop]],Input_Scenario,13,FALSE)*HLOOKUP(Bird_Chronic[[#This Row],[Crop]],Input_Scenario,8,FALSE)*Bird_Chronic[[#This Row],[SVm]],""),"")</f>
        <v/>
      </c>
      <c r="P123" s="370" t="str">
        <f>IFERROR(IF(ISNUMBER(INDEX(Active[B_NOAEL], 4)),
                          INDEX(Active[B_NOAEL], 4)/O123,""),"")</f>
        <v/>
      </c>
      <c r="Q123" s="370" t="str">
        <f>IFERROR(IF(Active5=TRUE,HLOOKUP(Bird_Chronic[[#This Row],[Crop]],Input_Scenario,14,FALSE)*HLOOKUP(Bird_Chronic[[#This Row],[Crop]],Input_Scenario,8,FALSE)*Bird_Chronic[[#This Row],[SVm]],""),"")</f>
        <v/>
      </c>
      <c r="R123" s="370" t="str">
        <f>IFERROR(IF(ISNUMBER(INDEX(Active[B_NOAEL], 5)),
                          INDEX(Active[B_NOAEL], 5)/Q123,""),"")</f>
        <v/>
      </c>
      <c r="S123" s="204"/>
      <c r="T123" s="56"/>
      <c r="U123" s="56"/>
      <c r="V123" s="56"/>
      <c r="W123" s="56"/>
      <c r="X123" s="56"/>
      <c r="Y123" s="56"/>
      <c r="Z123" s="56"/>
      <c r="AA123" s="56"/>
      <c r="AB123" s="56"/>
      <c r="AC123" s="56"/>
      <c r="AD123" s="56"/>
      <c r="AE123" s="56"/>
      <c r="AF123" s="56"/>
      <c r="AG123" s="56"/>
      <c r="AH123" s="56"/>
    </row>
    <row r="124" spans="1:34" s="106" customFormat="1" ht="16.5" customHeight="1">
      <c r="A124" s="56"/>
      <c r="B124" s="314" t="str">
        <f t="shared" ca="1" si="2"/>
        <v>No input</v>
      </c>
      <c r="C124" s="72" t="s">
        <v>179</v>
      </c>
      <c r="D124" s="73" t="s">
        <v>108</v>
      </c>
      <c r="E124" s="73" t="s">
        <v>211</v>
      </c>
      <c r="F124" s="113">
        <v>11.3</v>
      </c>
      <c r="G124" s="203" t="str">
        <f ca="1">IF(AND(Bird_Chronic[[#This Row],[Relevance]]="Input provided", Count&gt;=1),
       IF(B_ChronicScheme="C(mix)",
                 HLOOKUP(Bird_Chronic[[#This Row],[Crop]], Input_Scenario,10,FALSE)*Bird_Chronic[[#This Row],[SVm]]*HLOOKUP(Bird_Chronic[[#This Row],[Crop]],Input_Scenario,8,FALSE),""),"")</f>
        <v/>
      </c>
      <c r="H124" s="368" t="str">
        <f>IF(Count&gt;=1,
       IF(AND(B_ChronicScheme ="C(mix)", ISNUMBER(G124)), (B_NOAEL_form/G124),
       IF(AND(B_ChronicScheme = "HIsum", Count &gt; 1),
            IF(ISNUMBER(J124), IF(ISNUMBER(J124), 5/J124, 0) + IF(ISNUMBER(L124), 5/L124, 0) + IF(ISNUMBER(N124), 5/N124, 0) + IF(ISNUMBER(P124), 5/P124, 0) + IF(ISNUMBER(R124), 5/R124, 0),""), "")),"")</f>
        <v/>
      </c>
      <c r="I124" s="370" t="str">
        <f>IFERROR(IF(Active1=TRUE,HLOOKUP(Bird_Chronic[[#This Row],[Crop]],Input_Scenario,11,FALSE)*HLOOKUP(Bird_Chronic[[#This Row],[Crop]],Input_Scenario,8,FALSE)*Bird_Chronic[[#This Row],[SVm]],""),"")</f>
        <v/>
      </c>
      <c r="J124" s="370" t="str">
        <f>IFERROR(IF(ISNUMBER(INDEX(Active[B_NOAEL], 1)),
                          INDEX(Active[B_NOAEL], 1)/I124,""),"")</f>
        <v/>
      </c>
      <c r="K124" s="370" t="str">
        <f>IFERROR(IF(Active2=TRUE,HLOOKUP(Bird_Chronic[[#This Row],[Crop]],Input_Scenario,12,FALSE)*HLOOKUP(Bird_Chronic[[#This Row],[Crop]],Input_Scenario,8,FALSE)*Bird_Chronic[[#This Row],[SVm]],""),"")</f>
        <v/>
      </c>
      <c r="L124" s="370" t="str">
        <f>IFERROR(IF(ISNUMBER(INDEX(Active[B_NOAEL], 2)),
                          INDEX(Active[B_NOAEL], 2)/K124,""),"")</f>
        <v/>
      </c>
      <c r="M124" s="370" t="str">
        <f>IFERROR(IF(Active3=TRUE,HLOOKUP(Bird_Chronic[[#This Row],[Crop]],Input_Scenario,12,FALSE)*HLOOKUP(Bird_Chronic[[#This Row],[Crop]],Input_Scenario,8,FALSE)*Bird_Chronic[[#This Row],[SVm]],""),"")</f>
        <v/>
      </c>
      <c r="N124" s="370" t="str">
        <f>IFERROR(IF(ISNUMBER(INDEX(Active[B_NOAEL], 3)),
                          INDEX(Active[B_NOAEL], 3)/M124,""),"")</f>
        <v/>
      </c>
      <c r="O124" s="370" t="str">
        <f>IFERROR(IF(Active4=TRUE,HLOOKUP(Bird_Chronic[[#This Row],[Crop]],Input_Scenario,13,FALSE)*HLOOKUP(Bird_Chronic[[#This Row],[Crop]],Input_Scenario,8,FALSE)*Bird_Chronic[[#This Row],[SVm]],""),"")</f>
        <v/>
      </c>
      <c r="P124" s="370" t="str">
        <f>IFERROR(IF(ISNUMBER(INDEX(Active[B_NOAEL], 4)),
                          INDEX(Active[B_NOAEL], 4)/O124,""),"")</f>
        <v/>
      </c>
      <c r="Q124" s="370" t="str">
        <f>IFERROR(IF(Active5=TRUE,HLOOKUP(Bird_Chronic[[#This Row],[Crop]],Input_Scenario,14,FALSE)*HLOOKUP(Bird_Chronic[[#This Row],[Crop]],Input_Scenario,8,FALSE)*Bird_Chronic[[#This Row],[SVm]],""),"")</f>
        <v/>
      </c>
      <c r="R124" s="370" t="str">
        <f>IFERROR(IF(ISNUMBER(INDEX(Active[B_NOAEL], 5)),
                          INDEX(Active[B_NOAEL], 5)/Q124,""),"")</f>
        <v/>
      </c>
      <c r="S124" s="204"/>
      <c r="T124" s="56"/>
      <c r="U124" s="56"/>
      <c r="V124" s="56"/>
      <c r="W124" s="56"/>
      <c r="X124" s="56"/>
      <c r="Y124" s="56"/>
      <c r="Z124" s="56"/>
      <c r="AA124" s="56"/>
      <c r="AB124" s="56"/>
      <c r="AC124" s="56"/>
      <c r="AD124" s="56"/>
      <c r="AE124" s="56"/>
      <c r="AF124" s="56"/>
      <c r="AG124" s="56"/>
      <c r="AH124" s="56"/>
    </row>
    <row r="125" spans="1:34" s="106" customFormat="1" ht="16.5" customHeight="1">
      <c r="A125" s="56"/>
      <c r="B125" s="314" t="str">
        <f t="shared" ca="1" si="2"/>
        <v>No input</v>
      </c>
      <c r="C125" s="72" t="s">
        <v>179</v>
      </c>
      <c r="D125" s="73" t="s">
        <v>149</v>
      </c>
      <c r="E125" s="73" t="s">
        <v>223</v>
      </c>
      <c r="F125" s="113">
        <v>22.7</v>
      </c>
      <c r="G125" s="203" t="str">
        <f ca="1">IF(AND(Bird_Chronic[[#This Row],[Relevance]]="Input provided", Count&gt;=1),
       IF(B_ChronicScheme="C(mix)",
                 HLOOKUP(Bird_Chronic[[#This Row],[Crop]], Input_Scenario,10,FALSE)*Bird_Chronic[[#This Row],[SVm]]*HLOOKUP(Bird_Chronic[[#This Row],[Crop]],Input_Scenario,8,FALSE),""),"")</f>
        <v/>
      </c>
      <c r="H125" s="368" t="str">
        <f>IF(Count&gt;=1,
       IF(AND(B_ChronicScheme ="C(mix)", ISNUMBER(G125)), (B_NOAEL_form/G125),
       IF(AND(B_ChronicScheme = "HIsum", Count &gt; 1),
            IF(ISNUMBER(J125), IF(ISNUMBER(J125), 5/J125, 0) + IF(ISNUMBER(L125), 5/L125, 0) + IF(ISNUMBER(N125), 5/N125, 0) + IF(ISNUMBER(P125), 5/P125, 0) + IF(ISNUMBER(R125), 5/R125, 0),""), "")),"")</f>
        <v/>
      </c>
      <c r="I125" s="370" t="str">
        <f>IFERROR(IF(Active1=TRUE,HLOOKUP(Bird_Chronic[[#This Row],[Crop]],Input_Scenario,11,FALSE)*HLOOKUP(Bird_Chronic[[#This Row],[Crop]],Input_Scenario,8,FALSE)*Bird_Chronic[[#This Row],[SVm]],""),"")</f>
        <v/>
      </c>
      <c r="J125" s="370" t="str">
        <f>IFERROR(IF(ISNUMBER(INDEX(Active[B_NOAEL], 1)),
                          INDEX(Active[B_NOAEL], 1)/I125,""),"")</f>
        <v/>
      </c>
      <c r="K125" s="370" t="str">
        <f>IFERROR(IF(Active2=TRUE,HLOOKUP(Bird_Chronic[[#This Row],[Crop]],Input_Scenario,12,FALSE)*HLOOKUP(Bird_Chronic[[#This Row],[Crop]],Input_Scenario,8,FALSE)*Bird_Chronic[[#This Row],[SVm]],""),"")</f>
        <v/>
      </c>
      <c r="L125" s="370" t="str">
        <f>IFERROR(IF(ISNUMBER(INDEX(Active[B_NOAEL], 2)),
                          INDEX(Active[B_NOAEL], 2)/K125,""),"")</f>
        <v/>
      </c>
      <c r="M125" s="370" t="str">
        <f>IFERROR(IF(Active3=TRUE,HLOOKUP(Bird_Chronic[[#This Row],[Crop]],Input_Scenario,12,FALSE)*HLOOKUP(Bird_Chronic[[#This Row],[Crop]],Input_Scenario,8,FALSE)*Bird_Chronic[[#This Row],[SVm]],""),"")</f>
        <v/>
      </c>
      <c r="N125" s="370" t="str">
        <f>IFERROR(IF(ISNUMBER(INDEX(Active[B_NOAEL], 3)),
                          INDEX(Active[B_NOAEL], 3)/M125,""),"")</f>
        <v/>
      </c>
      <c r="O125" s="370" t="str">
        <f>IFERROR(IF(Active4=TRUE,HLOOKUP(Bird_Chronic[[#This Row],[Crop]],Input_Scenario,13,FALSE)*HLOOKUP(Bird_Chronic[[#This Row],[Crop]],Input_Scenario,8,FALSE)*Bird_Chronic[[#This Row],[SVm]],""),"")</f>
        <v/>
      </c>
      <c r="P125" s="370" t="str">
        <f>IFERROR(IF(ISNUMBER(INDEX(Active[B_NOAEL], 4)),
                          INDEX(Active[B_NOAEL], 4)/O125,""),"")</f>
        <v/>
      </c>
      <c r="Q125" s="370" t="str">
        <f>IFERROR(IF(Active5=TRUE,HLOOKUP(Bird_Chronic[[#This Row],[Crop]],Input_Scenario,14,FALSE)*HLOOKUP(Bird_Chronic[[#This Row],[Crop]],Input_Scenario,8,FALSE)*Bird_Chronic[[#This Row],[SVm]],""),"")</f>
        <v/>
      </c>
      <c r="R125" s="370" t="str">
        <f>IFERROR(IF(ISNUMBER(INDEX(Active[B_NOAEL], 5)),
                          INDEX(Active[B_NOAEL], 5)/Q125,""),"")</f>
        <v/>
      </c>
      <c r="S125" s="204"/>
      <c r="T125" s="56"/>
      <c r="U125" s="56"/>
      <c r="V125" s="56"/>
      <c r="W125" s="56"/>
      <c r="X125" s="56"/>
      <c r="Y125" s="56"/>
      <c r="Z125" s="56"/>
      <c r="AA125" s="56"/>
      <c r="AB125" s="56"/>
      <c r="AC125" s="56"/>
      <c r="AD125" s="56"/>
      <c r="AE125" s="56"/>
      <c r="AF125" s="56"/>
      <c r="AG125" s="56"/>
      <c r="AH125" s="56"/>
    </row>
    <row r="126" spans="1:34" s="106" customFormat="1" ht="16.5" customHeight="1">
      <c r="A126" s="56"/>
      <c r="B126" s="314" t="str">
        <f t="shared" ca="1" si="2"/>
        <v>No input</v>
      </c>
      <c r="C126" s="72" t="s">
        <v>179</v>
      </c>
      <c r="D126" s="73" t="s">
        <v>132</v>
      </c>
      <c r="E126" s="73" t="s">
        <v>209</v>
      </c>
      <c r="F126" s="113">
        <v>11.4</v>
      </c>
      <c r="G126" s="203" t="str">
        <f ca="1">IF(AND(Bird_Chronic[[#This Row],[Relevance]]="Input provided", Count&gt;=1),
       IF(B_ChronicScheme="C(mix)",
                 HLOOKUP(Bird_Chronic[[#This Row],[Crop]], Input_Scenario,10,FALSE)*Bird_Chronic[[#This Row],[SVm]]*HLOOKUP(Bird_Chronic[[#This Row],[Crop]],Input_Scenario,8,FALSE),""),"")</f>
        <v/>
      </c>
      <c r="H126" s="368" t="str">
        <f>IF(Count&gt;=1,
       IF(AND(B_ChronicScheme ="C(mix)", ISNUMBER(G126)), (B_NOAEL_form/G126),
       IF(AND(B_ChronicScheme = "HIsum", Count &gt; 1),
            IF(ISNUMBER(J126), IF(ISNUMBER(J126), 5/J126, 0) + IF(ISNUMBER(L126), 5/L126, 0) + IF(ISNUMBER(N126), 5/N126, 0) + IF(ISNUMBER(P126), 5/P126, 0) + IF(ISNUMBER(R126), 5/R126, 0),""), "")),"")</f>
        <v/>
      </c>
      <c r="I126" s="370" t="str">
        <f>IFERROR(IF(Active1=TRUE,HLOOKUP(Bird_Chronic[[#This Row],[Crop]],Input_Scenario,11,FALSE)*HLOOKUP(Bird_Chronic[[#This Row],[Crop]],Input_Scenario,8,FALSE)*Bird_Chronic[[#This Row],[SVm]],""),"")</f>
        <v/>
      </c>
      <c r="J126" s="370" t="str">
        <f>IFERROR(IF(ISNUMBER(INDEX(Active[B_NOAEL], 1)),
                          INDEX(Active[B_NOAEL], 1)/I126,""),"")</f>
        <v/>
      </c>
      <c r="K126" s="370" t="str">
        <f>IFERROR(IF(Active2=TRUE,HLOOKUP(Bird_Chronic[[#This Row],[Crop]],Input_Scenario,12,FALSE)*HLOOKUP(Bird_Chronic[[#This Row],[Crop]],Input_Scenario,8,FALSE)*Bird_Chronic[[#This Row],[SVm]],""),"")</f>
        <v/>
      </c>
      <c r="L126" s="370" t="str">
        <f>IFERROR(IF(ISNUMBER(INDEX(Active[B_NOAEL], 2)),
                          INDEX(Active[B_NOAEL], 2)/K126,""),"")</f>
        <v/>
      </c>
      <c r="M126" s="370" t="str">
        <f>IFERROR(IF(Active3=TRUE,HLOOKUP(Bird_Chronic[[#This Row],[Crop]],Input_Scenario,12,FALSE)*HLOOKUP(Bird_Chronic[[#This Row],[Crop]],Input_Scenario,8,FALSE)*Bird_Chronic[[#This Row],[SVm]],""),"")</f>
        <v/>
      </c>
      <c r="N126" s="370" t="str">
        <f>IFERROR(IF(ISNUMBER(INDEX(Active[B_NOAEL], 3)),
                          INDEX(Active[B_NOAEL], 3)/M126,""),"")</f>
        <v/>
      </c>
      <c r="O126" s="370" t="str">
        <f>IFERROR(IF(Active4=TRUE,HLOOKUP(Bird_Chronic[[#This Row],[Crop]],Input_Scenario,13,FALSE)*HLOOKUP(Bird_Chronic[[#This Row],[Crop]],Input_Scenario,8,FALSE)*Bird_Chronic[[#This Row],[SVm]],""),"")</f>
        <v/>
      </c>
      <c r="P126" s="370" t="str">
        <f>IFERROR(IF(ISNUMBER(INDEX(Active[B_NOAEL], 4)),
                          INDEX(Active[B_NOAEL], 4)/O126,""),"")</f>
        <v/>
      </c>
      <c r="Q126" s="370" t="str">
        <f>IFERROR(IF(Active5=TRUE,HLOOKUP(Bird_Chronic[[#This Row],[Crop]],Input_Scenario,14,FALSE)*HLOOKUP(Bird_Chronic[[#This Row],[Crop]],Input_Scenario,8,FALSE)*Bird_Chronic[[#This Row],[SVm]],""),"")</f>
        <v/>
      </c>
      <c r="R126" s="370" t="str">
        <f>IFERROR(IF(ISNUMBER(INDEX(Active[B_NOAEL], 5)),
                          INDEX(Active[B_NOAEL], 5)/Q126,""),"")</f>
        <v/>
      </c>
      <c r="S126" s="204"/>
      <c r="T126" s="56"/>
      <c r="U126" s="56"/>
      <c r="V126" s="56"/>
      <c r="W126" s="56"/>
      <c r="X126" s="56"/>
      <c r="Y126" s="56"/>
      <c r="Z126" s="56"/>
      <c r="AA126" s="56"/>
      <c r="AB126" s="56"/>
      <c r="AC126" s="56"/>
      <c r="AD126" s="56"/>
      <c r="AE126" s="56"/>
      <c r="AF126" s="56"/>
      <c r="AG126" s="56"/>
      <c r="AH126" s="56"/>
    </row>
    <row r="127" spans="1:34" s="106" customFormat="1" ht="16.5" customHeight="1">
      <c r="A127" s="56"/>
      <c r="B127" s="314" t="str">
        <f t="shared" ca="1" si="2"/>
        <v>No input</v>
      </c>
      <c r="C127" s="72" t="s">
        <v>179</v>
      </c>
      <c r="D127" s="73" t="s">
        <v>132</v>
      </c>
      <c r="E127" s="73" t="s">
        <v>210</v>
      </c>
      <c r="F127" s="113">
        <v>10.9</v>
      </c>
      <c r="G127" s="203" t="str">
        <f ca="1">IF(AND(Bird_Chronic[[#This Row],[Relevance]]="Input provided", Count&gt;=1),
       IF(B_ChronicScheme="C(mix)",
                 HLOOKUP(Bird_Chronic[[#This Row],[Crop]], Input_Scenario,10,FALSE)*Bird_Chronic[[#This Row],[SVm]]*HLOOKUP(Bird_Chronic[[#This Row],[Crop]],Input_Scenario,8,FALSE),""),"")</f>
        <v/>
      </c>
      <c r="H127" s="368" t="str">
        <f>IF(Count&gt;=1,
       IF(AND(B_ChronicScheme ="C(mix)", ISNUMBER(G127)), (B_NOAEL_form/G127),
       IF(AND(B_ChronicScheme = "HIsum", Count &gt; 1),
            IF(ISNUMBER(J127), IF(ISNUMBER(J127), 5/J127, 0) + IF(ISNUMBER(L127), 5/L127, 0) + IF(ISNUMBER(N127), 5/N127, 0) + IF(ISNUMBER(P127), 5/P127, 0) + IF(ISNUMBER(R127), 5/R127, 0),""), "")),"")</f>
        <v/>
      </c>
      <c r="I127" s="370" t="str">
        <f>IFERROR(IF(Active1=TRUE,HLOOKUP(Bird_Chronic[[#This Row],[Crop]],Input_Scenario,11,FALSE)*HLOOKUP(Bird_Chronic[[#This Row],[Crop]],Input_Scenario,8,FALSE)*Bird_Chronic[[#This Row],[SVm]],""),"")</f>
        <v/>
      </c>
      <c r="J127" s="370" t="str">
        <f>IFERROR(IF(ISNUMBER(INDEX(Active[B_NOAEL], 1)),
                          INDEX(Active[B_NOAEL], 1)/I127,""),"")</f>
        <v/>
      </c>
      <c r="K127" s="370" t="str">
        <f>IFERROR(IF(Active2=TRUE,HLOOKUP(Bird_Chronic[[#This Row],[Crop]],Input_Scenario,12,FALSE)*HLOOKUP(Bird_Chronic[[#This Row],[Crop]],Input_Scenario,8,FALSE)*Bird_Chronic[[#This Row],[SVm]],""),"")</f>
        <v/>
      </c>
      <c r="L127" s="370" t="str">
        <f>IFERROR(IF(ISNUMBER(INDEX(Active[B_NOAEL], 2)),
                          INDEX(Active[B_NOAEL], 2)/K127,""),"")</f>
        <v/>
      </c>
      <c r="M127" s="370" t="str">
        <f>IFERROR(IF(Active3=TRUE,HLOOKUP(Bird_Chronic[[#This Row],[Crop]],Input_Scenario,12,FALSE)*HLOOKUP(Bird_Chronic[[#This Row],[Crop]],Input_Scenario,8,FALSE)*Bird_Chronic[[#This Row],[SVm]],""),"")</f>
        <v/>
      </c>
      <c r="N127" s="370" t="str">
        <f>IFERROR(IF(ISNUMBER(INDEX(Active[B_NOAEL], 3)),
                          INDEX(Active[B_NOAEL], 3)/M127,""),"")</f>
        <v/>
      </c>
      <c r="O127" s="370" t="str">
        <f>IFERROR(IF(Active4=TRUE,HLOOKUP(Bird_Chronic[[#This Row],[Crop]],Input_Scenario,13,FALSE)*HLOOKUP(Bird_Chronic[[#This Row],[Crop]],Input_Scenario,8,FALSE)*Bird_Chronic[[#This Row],[SVm]],""),"")</f>
        <v/>
      </c>
      <c r="P127" s="370" t="str">
        <f>IFERROR(IF(ISNUMBER(INDEX(Active[B_NOAEL], 4)),
                          INDEX(Active[B_NOAEL], 4)/O127,""),"")</f>
        <v/>
      </c>
      <c r="Q127" s="370" t="str">
        <f>IFERROR(IF(Active5=TRUE,HLOOKUP(Bird_Chronic[[#This Row],[Crop]],Input_Scenario,14,FALSE)*HLOOKUP(Bird_Chronic[[#This Row],[Crop]],Input_Scenario,8,FALSE)*Bird_Chronic[[#This Row],[SVm]],""),"")</f>
        <v/>
      </c>
      <c r="R127" s="370" t="str">
        <f>IFERROR(IF(ISNUMBER(INDEX(Active[B_NOAEL], 5)),
                          INDEX(Active[B_NOAEL], 5)/Q127,""),"")</f>
        <v/>
      </c>
      <c r="S127" s="204"/>
      <c r="T127" s="56"/>
      <c r="U127" s="56"/>
      <c r="V127" s="56"/>
      <c r="W127" s="56"/>
      <c r="X127" s="56"/>
      <c r="Y127" s="56"/>
      <c r="Z127" s="56"/>
      <c r="AA127" s="56"/>
      <c r="AB127" s="56"/>
      <c r="AC127" s="56"/>
      <c r="AD127" s="56"/>
      <c r="AE127" s="56"/>
      <c r="AF127" s="56"/>
      <c r="AG127" s="56"/>
      <c r="AH127" s="56"/>
    </row>
    <row r="128" spans="1:34" s="106" customFormat="1" ht="16.5" customHeight="1">
      <c r="A128" s="56"/>
      <c r="B128" s="314" t="str">
        <f t="shared" ref="B128:B159" ca="1" si="3">IF(AND($B$3="Active",ISNUMBER(I128)),"Input provided","No input")</f>
        <v>No input</v>
      </c>
      <c r="C128" s="72" t="s">
        <v>179</v>
      </c>
      <c r="D128" s="73" t="s">
        <v>111</v>
      </c>
      <c r="E128" s="73" t="s">
        <v>211</v>
      </c>
      <c r="F128" s="113">
        <v>9.6999999999999993</v>
      </c>
      <c r="G128" s="203" t="str">
        <f ca="1">IF(AND(Bird_Chronic[[#This Row],[Relevance]]="Input provided", Count&gt;=1),
       IF(B_ChronicScheme="C(mix)",
                 HLOOKUP(Bird_Chronic[[#This Row],[Crop]], Input_Scenario,10,FALSE)*Bird_Chronic[[#This Row],[SVm]]*HLOOKUP(Bird_Chronic[[#This Row],[Crop]],Input_Scenario,8,FALSE),""),"")</f>
        <v/>
      </c>
      <c r="H128" s="368" t="str">
        <f>IF(Count&gt;=1,
       IF(AND(B_ChronicScheme ="C(mix)", ISNUMBER(G128)), (B_NOAEL_form/G128),
       IF(AND(B_ChronicScheme = "HIsum", Count &gt; 1),
            IF(ISNUMBER(J128), IF(ISNUMBER(J128), 5/J128, 0) + IF(ISNUMBER(L128), 5/L128, 0) + IF(ISNUMBER(N128), 5/N128, 0) + IF(ISNUMBER(P128), 5/P128, 0) + IF(ISNUMBER(R128), 5/R128, 0),""), "")),"")</f>
        <v/>
      </c>
      <c r="I128" s="370" t="str">
        <f>IFERROR(IF(Active1=TRUE,HLOOKUP(Bird_Chronic[[#This Row],[Crop]],Input_Scenario,11,FALSE)*HLOOKUP(Bird_Chronic[[#This Row],[Crop]],Input_Scenario,8,FALSE)*Bird_Chronic[[#This Row],[SVm]],""),"")</f>
        <v/>
      </c>
      <c r="J128" s="370" t="str">
        <f>IFERROR(IF(ISNUMBER(INDEX(Active[B_NOAEL], 1)),
                          INDEX(Active[B_NOAEL], 1)/I128,""),"")</f>
        <v/>
      </c>
      <c r="K128" s="370" t="str">
        <f>IFERROR(IF(Active2=TRUE,HLOOKUP(Bird_Chronic[[#This Row],[Crop]],Input_Scenario,12,FALSE)*HLOOKUP(Bird_Chronic[[#This Row],[Crop]],Input_Scenario,8,FALSE)*Bird_Chronic[[#This Row],[SVm]],""),"")</f>
        <v/>
      </c>
      <c r="L128" s="370" t="str">
        <f>IFERROR(IF(ISNUMBER(INDEX(Active[B_NOAEL], 2)),
                          INDEX(Active[B_NOAEL], 2)/K128,""),"")</f>
        <v/>
      </c>
      <c r="M128" s="370" t="str">
        <f>IFERROR(IF(Active3=TRUE,HLOOKUP(Bird_Chronic[[#This Row],[Crop]],Input_Scenario,12,FALSE)*HLOOKUP(Bird_Chronic[[#This Row],[Crop]],Input_Scenario,8,FALSE)*Bird_Chronic[[#This Row],[SVm]],""),"")</f>
        <v/>
      </c>
      <c r="N128" s="370" t="str">
        <f>IFERROR(IF(ISNUMBER(INDEX(Active[B_NOAEL], 3)),
                          INDEX(Active[B_NOAEL], 3)/M128,""),"")</f>
        <v/>
      </c>
      <c r="O128" s="370" t="str">
        <f>IFERROR(IF(Active4=TRUE,HLOOKUP(Bird_Chronic[[#This Row],[Crop]],Input_Scenario,13,FALSE)*HLOOKUP(Bird_Chronic[[#This Row],[Crop]],Input_Scenario,8,FALSE)*Bird_Chronic[[#This Row],[SVm]],""),"")</f>
        <v/>
      </c>
      <c r="P128" s="370" t="str">
        <f>IFERROR(IF(ISNUMBER(INDEX(Active[B_NOAEL], 4)),
                          INDEX(Active[B_NOAEL], 4)/O128,""),"")</f>
        <v/>
      </c>
      <c r="Q128" s="370" t="str">
        <f>IFERROR(IF(Active5=TRUE,HLOOKUP(Bird_Chronic[[#This Row],[Crop]],Input_Scenario,14,FALSE)*HLOOKUP(Bird_Chronic[[#This Row],[Crop]],Input_Scenario,8,FALSE)*Bird_Chronic[[#This Row],[SVm]],""),"")</f>
        <v/>
      </c>
      <c r="R128" s="370" t="str">
        <f>IFERROR(IF(ISNUMBER(INDEX(Active[B_NOAEL], 5)),
                          INDEX(Active[B_NOAEL], 5)/Q128,""),"")</f>
        <v/>
      </c>
      <c r="S128" s="204"/>
      <c r="T128" s="56"/>
      <c r="U128" s="56"/>
      <c r="V128" s="56"/>
      <c r="W128" s="56"/>
      <c r="X128" s="56"/>
      <c r="Y128" s="56"/>
      <c r="Z128" s="56"/>
      <c r="AA128" s="56"/>
      <c r="AB128" s="56"/>
      <c r="AC128" s="56"/>
      <c r="AD128" s="56"/>
      <c r="AE128" s="56"/>
      <c r="AF128" s="56"/>
      <c r="AG128" s="56"/>
      <c r="AH128" s="56"/>
    </row>
    <row r="129" spans="1:34" s="106" customFormat="1" ht="16.5" customHeight="1">
      <c r="A129" s="56"/>
      <c r="B129" s="314" t="str">
        <f t="shared" ca="1" si="3"/>
        <v>No input</v>
      </c>
      <c r="C129" s="72" t="s">
        <v>179</v>
      </c>
      <c r="D129" s="73" t="s">
        <v>134</v>
      </c>
      <c r="E129" s="73" t="s">
        <v>209</v>
      </c>
      <c r="F129" s="113">
        <v>3.4</v>
      </c>
      <c r="G129" s="203" t="str">
        <f ca="1">IF(AND(Bird_Chronic[[#This Row],[Relevance]]="Input provided", Count&gt;=1),
       IF(B_ChronicScheme="C(mix)",
                 HLOOKUP(Bird_Chronic[[#This Row],[Crop]], Input_Scenario,10,FALSE)*Bird_Chronic[[#This Row],[SVm]]*HLOOKUP(Bird_Chronic[[#This Row],[Crop]],Input_Scenario,8,FALSE),""),"")</f>
        <v/>
      </c>
      <c r="H129" s="368" t="str">
        <f>IF(Count&gt;=1,
       IF(AND(B_ChronicScheme ="C(mix)", ISNUMBER(G129)), (B_NOAEL_form/G129),
       IF(AND(B_ChronicScheme = "HIsum", Count &gt; 1),
            IF(ISNUMBER(J129), IF(ISNUMBER(J129), 5/J129, 0) + IF(ISNUMBER(L129), 5/L129, 0) + IF(ISNUMBER(N129), 5/N129, 0) + IF(ISNUMBER(P129), 5/P129, 0) + IF(ISNUMBER(R129), 5/R129, 0),""), "")),"")</f>
        <v/>
      </c>
      <c r="I129" s="370" t="str">
        <f>IFERROR(IF(Active1=TRUE,HLOOKUP(Bird_Chronic[[#This Row],[Crop]],Input_Scenario,11,FALSE)*HLOOKUP(Bird_Chronic[[#This Row],[Crop]],Input_Scenario,8,FALSE)*Bird_Chronic[[#This Row],[SVm]],""),"")</f>
        <v/>
      </c>
      <c r="J129" s="370" t="str">
        <f>IFERROR(IF(ISNUMBER(INDEX(Active[B_NOAEL], 1)),
                          INDEX(Active[B_NOAEL], 1)/I129,""),"")</f>
        <v/>
      </c>
      <c r="K129" s="370" t="str">
        <f>IFERROR(IF(Active2=TRUE,HLOOKUP(Bird_Chronic[[#This Row],[Crop]],Input_Scenario,12,FALSE)*HLOOKUP(Bird_Chronic[[#This Row],[Crop]],Input_Scenario,8,FALSE)*Bird_Chronic[[#This Row],[SVm]],""),"")</f>
        <v/>
      </c>
      <c r="L129" s="370" t="str">
        <f>IFERROR(IF(ISNUMBER(INDEX(Active[B_NOAEL], 2)),
                          INDEX(Active[B_NOAEL], 2)/K129,""),"")</f>
        <v/>
      </c>
      <c r="M129" s="370" t="str">
        <f>IFERROR(IF(Active3=TRUE,HLOOKUP(Bird_Chronic[[#This Row],[Crop]],Input_Scenario,12,FALSE)*HLOOKUP(Bird_Chronic[[#This Row],[Crop]],Input_Scenario,8,FALSE)*Bird_Chronic[[#This Row],[SVm]],""),"")</f>
        <v/>
      </c>
      <c r="N129" s="370" t="str">
        <f>IFERROR(IF(ISNUMBER(INDEX(Active[B_NOAEL], 3)),
                          INDEX(Active[B_NOAEL], 3)/M129,""),"")</f>
        <v/>
      </c>
      <c r="O129" s="370" t="str">
        <f>IFERROR(IF(Active4=TRUE,HLOOKUP(Bird_Chronic[[#This Row],[Crop]],Input_Scenario,13,FALSE)*HLOOKUP(Bird_Chronic[[#This Row],[Crop]],Input_Scenario,8,FALSE)*Bird_Chronic[[#This Row],[SVm]],""),"")</f>
        <v/>
      </c>
      <c r="P129" s="370" t="str">
        <f>IFERROR(IF(ISNUMBER(INDEX(Active[B_NOAEL], 4)),
                          INDEX(Active[B_NOAEL], 4)/O129,""),"")</f>
        <v/>
      </c>
      <c r="Q129" s="370" t="str">
        <f>IFERROR(IF(Active5=TRUE,HLOOKUP(Bird_Chronic[[#This Row],[Crop]],Input_Scenario,14,FALSE)*HLOOKUP(Bird_Chronic[[#This Row],[Crop]],Input_Scenario,8,FALSE)*Bird_Chronic[[#This Row],[SVm]],""),"")</f>
        <v/>
      </c>
      <c r="R129" s="370" t="str">
        <f>IFERROR(IF(ISNUMBER(INDEX(Active[B_NOAEL], 5)),
                          INDEX(Active[B_NOAEL], 5)/Q129,""),"")</f>
        <v/>
      </c>
      <c r="S129" s="204"/>
      <c r="T129" s="56"/>
      <c r="U129" s="56"/>
      <c r="V129" s="56"/>
      <c r="W129" s="56"/>
      <c r="X129" s="56"/>
      <c r="Y129" s="56"/>
      <c r="Z129" s="56"/>
      <c r="AA129" s="56"/>
      <c r="AB129" s="56"/>
      <c r="AC129" s="56"/>
      <c r="AD129" s="56"/>
      <c r="AE129" s="56"/>
      <c r="AF129" s="56"/>
      <c r="AG129" s="56"/>
      <c r="AH129" s="56"/>
    </row>
    <row r="130" spans="1:34" s="106" customFormat="1" ht="16.5" customHeight="1">
      <c r="A130" s="56"/>
      <c r="B130" s="314" t="str">
        <f t="shared" ca="1" si="3"/>
        <v>No input</v>
      </c>
      <c r="C130" s="72" t="s">
        <v>179</v>
      </c>
      <c r="D130" s="73" t="s">
        <v>134</v>
      </c>
      <c r="E130" s="73" t="s">
        <v>210</v>
      </c>
      <c r="F130" s="113">
        <v>3.3</v>
      </c>
      <c r="G130" s="203" t="str">
        <f ca="1">IF(AND(Bird_Chronic[[#This Row],[Relevance]]="Input provided", Count&gt;=1),
       IF(B_ChronicScheme="C(mix)",
                 HLOOKUP(Bird_Chronic[[#This Row],[Crop]], Input_Scenario,10,FALSE)*Bird_Chronic[[#This Row],[SVm]]*HLOOKUP(Bird_Chronic[[#This Row],[Crop]],Input_Scenario,8,FALSE),""),"")</f>
        <v/>
      </c>
      <c r="H130" s="368" t="str">
        <f>IF(Count&gt;=1,
       IF(AND(B_ChronicScheme ="C(mix)", ISNUMBER(G130)), (B_NOAEL_form/G130),
       IF(AND(B_ChronicScheme = "HIsum", Count &gt; 1),
            IF(ISNUMBER(J130), IF(ISNUMBER(J130), 5/J130, 0) + IF(ISNUMBER(L130), 5/L130, 0) + IF(ISNUMBER(N130), 5/N130, 0) + IF(ISNUMBER(P130), 5/P130, 0) + IF(ISNUMBER(R130), 5/R130, 0),""), "")),"")</f>
        <v/>
      </c>
      <c r="I130" s="370" t="str">
        <f>IFERROR(IF(Active1=TRUE,HLOOKUP(Bird_Chronic[[#This Row],[Crop]],Input_Scenario,11,FALSE)*HLOOKUP(Bird_Chronic[[#This Row],[Crop]],Input_Scenario,8,FALSE)*Bird_Chronic[[#This Row],[SVm]],""),"")</f>
        <v/>
      </c>
      <c r="J130" s="370" t="str">
        <f>IFERROR(IF(ISNUMBER(INDEX(Active[B_NOAEL], 1)),
                          INDEX(Active[B_NOAEL], 1)/I130,""),"")</f>
        <v/>
      </c>
      <c r="K130" s="370" t="str">
        <f>IFERROR(IF(Active2=TRUE,HLOOKUP(Bird_Chronic[[#This Row],[Crop]],Input_Scenario,12,FALSE)*HLOOKUP(Bird_Chronic[[#This Row],[Crop]],Input_Scenario,8,FALSE)*Bird_Chronic[[#This Row],[SVm]],""),"")</f>
        <v/>
      </c>
      <c r="L130" s="370" t="str">
        <f>IFERROR(IF(ISNUMBER(INDEX(Active[B_NOAEL], 2)),
                          INDEX(Active[B_NOAEL], 2)/K130,""),"")</f>
        <v/>
      </c>
      <c r="M130" s="370" t="str">
        <f>IFERROR(IF(Active3=TRUE,HLOOKUP(Bird_Chronic[[#This Row],[Crop]],Input_Scenario,12,FALSE)*HLOOKUP(Bird_Chronic[[#This Row],[Crop]],Input_Scenario,8,FALSE)*Bird_Chronic[[#This Row],[SVm]],""),"")</f>
        <v/>
      </c>
      <c r="N130" s="370" t="str">
        <f>IFERROR(IF(ISNUMBER(INDEX(Active[B_NOAEL], 3)),
                          INDEX(Active[B_NOAEL], 3)/M130,""),"")</f>
        <v/>
      </c>
      <c r="O130" s="370" t="str">
        <f>IFERROR(IF(Active4=TRUE,HLOOKUP(Bird_Chronic[[#This Row],[Crop]],Input_Scenario,13,FALSE)*HLOOKUP(Bird_Chronic[[#This Row],[Crop]],Input_Scenario,8,FALSE)*Bird_Chronic[[#This Row],[SVm]],""),"")</f>
        <v/>
      </c>
      <c r="P130" s="370" t="str">
        <f>IFERROR(IF(ISNUMBER(INDEX(Active[B_NOAEL], 4)),
                          INDEX(Active[B_NOAEL], 4)/O130,""),"")</f>
        <v/>
      </c>
      <c r="Q130" s="370" t="str">
        <f>IFERROR(IF(Active5=TRUE,HLOOKUP(Bird_Chronic[[#This Row],[Crop]],Input_Scenario,14,FALSE)*HLOOKUP(Bird_Chronic[[#This Row],[Crop]],Input_Scenario,8,FALSE)*Bird_Chronic[[#This Row],[SVm]],""),"")</f>
        <v/>
      </c>
      <c r="R130" s="370" t="str">
        <f>IFERROR(IF(ISNUMBER(INDEX(Active[B_NOAEL], 5)),
                          INDEX(Active[B_NOAEL], 5)/Q130,""),"")</f>
        <v/>
      </c>
      <c r="S130" s="204"/>
      <c r="T130" s="56"/>
      <c r="U130" s="56"/>
      <c r="V130" s="56"/>
      <c r="W130" s="56"/>
      <c r="X130" s="56"/>
      <c r="Y130" s="56"/>
      <c r="Z130" s="56"/>
      <c r="AA130" s="56"/>
      <c r="AB130" s="56"/>
      <c r="AC130" s="56"/>
      <c r="AD130" s="56"/>
      <c r="AE130" s="56"/>
      <c r="AF130" s="56"/>
      <c r="AG130" s="56"/>
      <c r="AH130" s="56"/>
    </row>
    <row r="131" spans="1:34" s="106" customFormat="1" ht="16.5" customHeight="1">
      <c r="A131" s="56"/>
      <c r="B131" s="314" t="str">
        <f t="shared" ca="1" si="3"/>
        <v>No input</v>
      </c>
      <c r="C131" s="72" t="s">
        <v>180</v>
      </c>
      <c r="D131" s="73" t="s">
        <v>108</v>
      </c>
      <c r="E131" s="73" t="s">
        <v>211</v>
      </c>
      <c r="F131" s="113">
        <v>11.3</v>
      </c>
      <c r="G131" s="203" t="str">
        <f ca="1">IF(AND(Bird_Chronic[[#This Row],[Relevance]]="Input provided", Count&gt;=1),
       IF(B_ChronicScheme="C(mix)",
                 HLOOKUP(Bird_Chronic[[#This Row],[Crop]], Input_Scenario,10,FALSE)*Bird_Chronic[[#This Row],[SVm]]*HLOOKUP(Bird_Chronic[[#This Row],[Crop]],Input_Scenario,8,FALSE),""),"")</f>
        <v/>
      </c>
      <c r="H131" s="368" t="str">
        <f>IF(Count&gt;=1,
       IF(AND(B_ChronicScheme ="C(mix)", ISNUMBER(G131)), (B_NOAEL_form/G131),
       IF(AND(B_ChronicScheme = "HIsum", Count &gt; 1),
            IF(ISNUMBER(J131), IF(ISNUMBER(J131), 5/J131, 0) + IF(ISNUMBER(L131), 5/L131, 0) + IF(ISNUMBER(N131), 5/N131, 0) + IF(ISNUMBER(P131), 5/P131, 0) + IF(ISNUMBER(R131), 5/R131, 0),""), "")),"")</f>
        <v/>
      </c>
      <c r="I131" s="370" t="str">
        <f>IFERROR(IF(Active1=TRUE,HLOOKUP(Bird_Chronic[[#This Row],[Crop]],Input_Scenario,11,FALSE)*HLOOKUP(Bird_Chronic[[#This Row],[Crop]],Input_Scenario,8,FALSE)*Bird_Chronic[[#This Row],[SVm]],""),"")</f>
        <v/>
      </c>
      <c r="J131" s="370" t="str">
        <f>IFERROR(IF(ISNUMBER(INDEX(Active[B_NOAEL], 1)),
                          INDEX(Active[B_NOAEL], 1)/I131,""),"")</f>
        <v/>
      </c>
      <c r="K131" s="370" t="str">
        <f>IFERROR(IF(Active2=TRUE,HLOOKUP(Bird_Chronic[[#This Row],[Crop]],Input_Scenario,12,FALSE)*HLOOKUP(Bird_Chronic[[#This Row],[Crop]],Input_Scenario,8,FALSE)*Bird_Chronic[[#This Row],[SVm]],""),"")</f>
        <v/>
      </c>
      <c r="L131" s="370" t="str">
        <f>IFERROR(IF(ISNUMBER(INDEX(Active[B_NOAEL], 2)),
                          INDEX(Active[B_NOAEL], 2)/K131,""),"")</f>
        <v/>
      </c>
      <c r="M131" s="370" t="str">
        <f>IFERROR(IF(Active3=TRUE,HLOOKUP(Bird_Chronic[[#This Row],[Crop]],Input_Scenario,12,FALSE)*HLOOKUP(Bird_Chronic[[#This Row],[Crop]],Input_Scenario,8,FALSE)*Bird_Chronic[[#This Row],[SVm]],""),"")</f>
        <v/>
      </c>
      <c r="N131" s="370" t="str">
        <f>IFERROR(IF(ISNUMBER(INDEX(Active[B_NOAEL], 3)),
                          INDEX(Active[B_NOAEL], 3)/M131,""),"")</f>
        <v/>
      </c>
      <c r="O131" s="370" t="str">
        <f>IFERROR(IF(Active4=TRUE,HLOOKUP(Bird_Chronic[[#This Row],[Crop]],Input_Scenario,13,FALSE)*HLOOKUP(Bird_Chronic[[#This Row],[Crop]],Input_Scenario,8,FALSE)*Bird_Chronic[[#This Row],[SVm]],""),"")</f>
        <v/>
      </c>
      <c r="P131" s="370" t="str">
        <f>IFERROR(IF(ISNUMBER(INDEX(Active[B_NOAEL], 4)),
                          INDEX(Active[B_NOAEL], 4)/O131,""),"")</f>
        <v/>
      </c>
      <c r="Q131" s="370" t="str">
        <f>IFERROR(IF(Active5=TRUE,HLOOKUP(Bird_Chronic[[#This Row],[Crop]],Input_Scenario,14,FALSE)*HLOOKUP(Bird_Chronic[[#This Row],[Crop]],Input_Scenario,8,FALSE)*Bird_Chronic[[#This Row],[SVm]],""),"")</f>
        <v/>
      </c>
      <c r="R131" s="370" t="str">
        <f>IFERROR(IF(ISNUMBER(INDEX(Active[B_NOAEL], 5)),
                          INDEX(Active[B_NOAEL], 5)/Q131,""),"")</f>
        <v/>
      </c>
      <c r="S131" s="204"/>
      <c r="T131" s="56"/>
      <c r="U131" s="56"/>
      <c r="V131" s="56"/>
      <c r="W131" s="56"/>
      <c r="X131" s="56"/>
      <c r="Y131" s="56"/>
      <c r="Z131" s="56"/>
      <c r="AA131" s="56"/>
      <c r="AB131" s="56"/>
      <c r="AC131" s="56"/>
      <c r="AD131" s="56"/>
      <c r="AE131" s="56"/>
      <c r="AF131" s="56"/>
      <c r="AG131" s="56"/>
      <c r="AH131" s="56"/>
    </row>
    <row r="132" spans="1:34" s="106" customFormat="1" ht="16.5" customHeight="1">
      <c r="A132" s="56"/>
      <c r="B132" s="314" t="str">
        <f t="shared" ca="1" si="3"/>
        <v>No input</v>
      </c>
      <c r="C132" s="72" t="s">
        <v>180</v>
      </c>
      <c r="D132" s="73" t="s">
        <v>110</v>
      </c>
      <c r="E132" s="73" t="s">
        <v>209</v>
      </c>
      <c r="F132" s="113">
        <v>11.4</v>
      </c>
      <c r="G132" s="203" t="str">
        <f ca="1">IF(AND(Bird_Chronic[[#This Row],[Relevance]]="Input provided", Count&gt;=1),
       IF(B_ChronicScheme="C(mix)",
                 HLOOKUP(Bird_Chronic[[#This Row],[Crop]], Input_Scenario,10,FALSE)*Bird_Chronic[[#This Row],[SVm]]*HLOOKUP(Bird_Chronic[[#This Row],[Crop]],Input_Scenario,8,FALSE),""),"")</f>
        <v/>
      </c>
      <c r="H132" s="368" t="str">
        <f>IF(Count&gt;=1,
       IF(AND(B_ChronicScheme ="C(mix)", ISNUMBER(G132)), (B_NOAEL_form/G132),
       IF(AND(B_ChronicScheme = "HIsum", Count &gt; 1),
            IF(ISNUMBER(J132), IF(ISNUMBER(J132), 5/J132, 0) + IF(ISNUMBER(L132), 5/L132, 0) + IF(ISNUMBER(N132), 5/N132, 0) + IF(ISNUMBER(P132), 5/P132, 0) + IF(ISNUMBER(R132), 5/R132, 0),""), "")),"")</f>
        <v/>
      </c>
      <c r="I132" s="370" t="str">
        <f>IFERROR(IF(Active1=TRUE,HLOOKUP(Bird_Chronic[[#This Row],[Crop]],Input_Scenario,11,FALSE)*HLOOKUP(Bird_Chronic[[#This Row],[Crop]],Input_Scenario,8,FALSE)*Bird_Chronic[[#This Row],[SVm]],""),"")</f>
        <v/>
      </c>
      <c r="J132" s="370" t="str">
        <f>IFERROR(IF(ISNUMBER(INDEX(Active[B_NOAEL], 1)),
                          INDEX(Active[B_NOAEL], 1)/I132,""),"")</f>
        <v/>
      </c>
      <c r="K132" s="370" t="str">
        <f>IFERROR(IF(Active2=TRUE,HLOOKUP(Bird_Chronic[[#This Row],[Crop]],Input_Scenario,12,FALSE)*HLOOKUP(Bird_Chronic[[#This Row],[Crop]],Input_Scenario,8,FALSE)*Bird_Chronic[[#This Row],[SVm]],""),"")</f>
        <v/>
      </c>
      <c r="L132" s="370" t="str">
        <f>IFERROR(IF(ISNUMBER(INDEX(Active[B_NOAEL], 2)),
                          INDEX(Active[B_NOAEL], 2)/K132,""),"")</f>
        <v/>
      </c>
      <c r="M132" s="370" t="str">
        <f>IFERROR(IF(Active3=TRUE,HLOOKUP(Bird_Chronic[[#This Row],[Crop]],Input_Scenario,12,FALSE)*HLOOKUP(Bird_Chronic[[#This Row],[Crop]],Input_Scenario,8,FALSE)*Bird_Chronic[[#This Row],[SVm]],""),"")</f>
        <v/>
      </c>
      <c r="N132" s="370" t="str">
        <f>IFERROR(IF(ISNUMBER(INDEX(Active[B_NOAEL], 3)),
                          INDEX(Active[B_NOAEL], 3)/M132,""),"")</f>
        <v/>
      </c>
      <c r="O132" s="370" t="str">
        <f>IFERROR(IF(Active4=TRUE,HLOOKUP(Bird_Chronic[[#This Row],[Crop]],Input_Scenario,13,FALSE)*HLOOKUP(Bird_Chronic[[#This Row],[Crop]],Input_Scenario,8,FALSE)*Bird_Chronic[[#This Row],[SVm]],""),"")</f>
        <v/>
      </c>
      <c r="P132" s="370" t="str">
        <f>IFERROR(IF(ISNUMBER(INDEX(Active[B_NOAEL], 4)),
                          INDEX(Active[B_NOAEL], 4)/O132,""),"")</f>
        <v/>
      </c>
      <c r="Q132" s="370" t="str">
        <f>IFERROR(IF(Active5=TRUE,HLOOKUP(Bird_Chronic[[#This Row],[Crop]],Input_Scenario,14,FALSE)*HLOOKUP(Bird_Chronic[[#This Row],[Crop]],Input_Scenario,8,FALSE)*Bird_Chronic[[#This Row],[SVm]],""),"")</f>
        <v/>
      </c>
      <c r="R132" s="370" t="str">
        <f>IFERROR(IF(ISNUMBER(INDEX(Active[B_NOAEL], 5)),
                          INDEX(Active[B_NOAEL], 5)/Q132,""),"")</f>
        <v/>
      </c>
      <c r="S132" s="204"/>
      <c r="T132" s="56"/>
      <c r="U132" s="56"/>
      <c r="V132" s="56"/>
      <c r="W132" s="56"/>
      <c r="X132" s="56"/>
      <c r="Y132" s="56"/>
      <c r="Z132" s="56"/>
      <c r="AA132" s="56"/>
      <c r="AB132" s="56"/>
      <c r="AC132" s="56"/>
      <c r="AD132" s="56"/>
      <c r="AE132" s="56"/>
      <c r="AF132" s="56"/>
      <c r="AG132" s="56"/>
      <c r="AH132" s="56"/>
    </row>
    <row r="133" spans="1:34" s="106" customFormat="1" ht="16.5" customHeight="1">
      <c r="A133" s="56"/>
      <c r="B133" s="314" t="str">
        <f t="shared" ca="1" si="3"/>
        <v>No input</v>
      </c>
      <c r="C133" s="72" t="s">
        <v>180</v>
      </c>
      <c r="D133" s="73" t="s">
        <v>110</v>
      </c>
      <c r="E133" s="73" t="s">
        <v>210</v>
      </c>
      <c r="F133" s="113">
        <v>10.9</v>
      </c>
      <c r="G133" s="203" t="str">
        <f ca="1">IF(AND(Bird_Chronic[[#This Row],[Relevance]]="Input provided", Count&gt;=1),
       IF(B_ChronicScheme="C(mix)",
                 HLOOKUP(Bird_Chronic[[#This Row],[Crop]], Input_Scenario,10,FALSE)*Bird_Chronic[[#This Row],[SVm]]*HLOOKUP(Bird_Chronic[[#This Row],[Crop]],Input_Scenario,8,FALSE),""),"")</f>
        <v/>
      </c>
      <c r="H133" s="368" t="str">
        <f>IF(Count&gt;=1,
       IF(AND(B_ChronicScheme ="C(mix)", ISNUMBER(G133)), (B_NOAEL_form/G133),
       IF(AND(B_ChronicScheme = "HIsum", Count &gt; 1),
            IF(ISNUMBER(J133), IF(ISNUMBER(J133), 5/J133, 0) + IF(ISNUMBER(L133), 5/L133, 0) + IF(ISNUMBER(N133), 5/N133, 0) + IF(ISNUMBER(P133), 5/P133, 0) + IF(ISNUMBER(R133), 5/R133, 0),""), "")),"")</f>
        <v/>
      </c>
      <c r="I133" s="370" t="str">
        <f>IFERROR(IF(Active1=TRUE,HLOOKUP(Bird_Chronic[[#This Row],[Crop]],Input_Scenario,11,FALSE)*HLOOKUP(Bird_Chronic[[#This Row],[Crop]],Input_Scenario,8,FALSE)*Bird_Chronic[[#This Row],[SVm]],""),"")</f>
        <v/>
      </c>
      <c r="J133" s="370" t="str">
        <f>IFERROR(IF(ISNUMBER(INDEX(Active[B_NOAEL], 1)),
                          INDEX(Active[B_NOAEL], 1)/I133,""),"")</f>
        <v/>
      </c>
      <c r="K133" s="370" t="str">
        <f>IFERROR(IF(Active2=TRUE,HLOOKUP(Bird_Chronic[[#This Row],[Crop]],Input_Scenario,12,FALSE)*HLOOKUP(Bird_Chronic[[#This Row],[Crop]],Input_Scenario,8,FALSE)*Bird_Chronic[[#This Row],[SVm]],""),"")</f>
        <v/>
      </c>
      <c r="L133" s="370" t="str">
        <f>IFERROR(IF(ISNUMBER(INDEX(Active[B_NOAEL], 2)),
                          INDEX(Active[B_NOAEL], 2)/K133,""),"")</f>
        <v/>
      </c>
      <c r="M133" s="370" t="str">
        <f>IFERROR(IF(Active3=TRUE,HLOOKUP(Bird_Chronic[[#This Row],[Crop]],Input_Scenario,12,FALSE)*HLOOKUP(Bird_Chronic[[#This Row],[Crop]],Input_Scenario,8,FALSE)*Bird_Chronic[[#This Row],[SVm]],""),"")</f>
        <v/>
      </c>
      <c r="N133" s="370" t="str">
        <f>IFERROR(IF(ISNUMBER(INDEX(Active[B_NOAEL], 3)),
                          INDEX(Active[B_NOAEL], 3)/M133,""),"")</f>
        <v/>
      </c>
      <c r="O133" s="370" t="str">
        <f>IFERROR(IF(Active4=TRUE,HLOOKUP(Bird_Chronic[[#This Row],[Crop]],Input_Scenario,13,FALSE)*HLOOKUP(Bird_Chronic[[#This Row],[Crop]],Input_Scenario,8,FALSE)*Bird_Chronic[[#This Row],[SVm]],""),"")</f>
        <v/>
      </c>
      <c r="P133" s="370" t="str">
        <f>IFERROR(IF(ISNUMBER(INDEX(Active[B_NOAEL], 4)),
                          INDEX(Active[B_NOAEL], 4)/O133,""),"")</f>
        <v/>
      </c>
      <c r="Q133" s="370" t="str">
        <f>IFERROR(IF(Active5=TRUE,HLOOKUP(Bird_Chronic[[#This Row],[Crop]],Input_Scenario,14,FALSE)*HLOOKUP(Bird_Chronic[[#This Row],[Crop]],Input_Scenario,8,FALSE)*Bird_Chronic[[#This Row],[SVm]],""),"")</f>
        <v/>
      </c>
      <c r="R133" s="370" t="str">
        <f>IFERROR(IF(ISNUMBER(INDEX(Active[B_NOAEL], 5)),
                          INDEX(Active[B_NOAEL], 5)/Q133,""),"")</f>
        <v/>
      </c>
      <c r="S133" s="204"/>
      <c r="T133" s="56"/>
      <c r="U133" s="56"/>
      <c r="V133" s="56"/>
      <c r="W133" s="56"/>
      <c r="X133" s="56"/>
      <c r="Y133" s="56"/>
      <c r="Z133" s="56"/>
      <c r="AA133" s="56"/>
      <c r="AB133" s="56"/>
      <c r="AC133" s="56"/>
      <c r="AD133" s="56"/>
      <c r="AE133" s="56"/>
      <c r="AF133" s="56"/>
      <c r="AG133" s="56"/>
      <c r="AH133" s="56"/>
    </row>
    <row r="134" spans="1:34" s="106" customFormat="1" ht="16.5" customHeight="1">
      <c r="A134" s="56"/>
      <c r="B134" s="314" t="str">
        <f t="shared" ca="1" si="3"/>
        <v>No input</v>
      </c>
      <c r="C134" s="72" t="s">
        <v>180</v>
      </c>
      <c r="D134" s="73" t="s">
        <v>111</v>
      </c>
      <c r="E134" s="73" t="s">
        <v>211</v>
      </c>
      <c r="F134" s="113">
        <v>9.6999999999999993</v>
      </c>
      <c r="G134" s="203" t="str">
        <f ca="1">IF(AND(Bird_Chronic[[#This Row],[Relevance]]="Input provided", Count&gt;=1),
       IF(B_ChronicScheme="C(mix)",
                 HLOOKUP(Bird_Chronic[[#This Row],[Crop]], Input_Scenario,10,FALSE)*Bird_Chronic[[#This Row],[SVm]]*HLOOKUP(Bird_Chronic[[#This Row],[Crop]],Input_Scenario,8,FALSE),""),"")</f>
        <v/>
      </c>
      <c r="H134" s="368" t="str">
        <f>IF(Count&gt;=1,
       IF(AND(B_ChronicScheme ="C(mix)", ISNUMBER(G134)), (B_NOAEL_form/G134),
       IF(AND(B_ChronicScheme = "HIsum", Count &gt; 1),
            IF(ISNUMBER(J134), IF(ISNUMBER(J134), 5/J134, 0) + IF(ISNUMBER(L134), 5/L134, 0) + IF(ISNUMBER(N134), 5/N134, 0) + IF(ISNUMBER(P134), 5/P134, 0) + IF(ISNUMBER(R134), 5/R134, 0),""), "")),"")</f>
        <v/>
      </c>
      <c r="I134" s="370" t="str">
        <f>IFERROR(IF(Active1=TRUE,HLOOKUP(Bird_Chronic[[#This Row],[Crop]],Input_Scenario,11,FALSE)*HLOOKUP(Bird_Chronic[[#This Row],[Crop]],Input_Scenario,8,FALSE)*Bird_Chronic[[#This Row],[SVm]],""),"")</f>
        <v/>
      </c>
      <c r="J134" s="370" t="str">
        <f>IFERROR(IF(ISNUMBER(INDEX(Active[B_NOAEL], 1)),
                          INDEX(Active[B_NOAEL], 1)/I134,""),"")</f>
        <v/>
      </c>
      <c r="K134" s="370" t="str">
        <f>IFERROR(IF(Active2=TRUE,HLOOKUP(Bird_Chronic[[#This Row],[Crop]],Input_Scenario,12,FALSE)*HLOOKUP(Bird_Chronic[[#This Row],[Crop]],Input_Scenario,8,FALSE)*Bird_Chronic[[#This Row],[SVm]],""),"")</f>
        <v/>
      </c>
      <c r="L134" s="370" t="str">
        <f>IFERROR(IF(ISNUMBER(INDEX(Active[B_NOAEL], 2)),
                          INDEX(Active[B_NOAEL], 2)/K134,""),"")</f>
        <v/>
      </c>
      <c r="M134" s="370" t="str">
        <f>IFERROR(IF(Active3=TRUE,HLOOKUP(Bird_Chronic[[#This Row],[Crop]],Input_Scenario,12,FALSE)*HLOOKUP(Bird_Chronic[[#This Row],[Crop]],Input_Scenario,8,FALSE)*Bird_Chronic[[#This Row],[SVm]],""),"")</f>
        <v/>
      </c>
      <c r="N134" s="370" t="str">
        <f>IFERROR(IF(ISNUMBER(INDEX(Active[B_NOAEL], 3)),
                          INDEX(Active[B_NOAEL], 3)/M134,""),"")</f>
        <v/>
      </c>
      <c r="O134" s="370" t="str">
        <f>IFERROR(IF(Active4=TRUE,HLOOKUP(Bird_Chronic[[#This Row],[Crop]],Input_Scenario,13,FALSE)*HLOOKUP(Bird_Chronic[[#This Row],[Crop]],Input_Scenario,8,FALSE)*Bird_Chronic[[#This Row],[SVm]],""),"")</f>
        <v/>
      </c>
      <c r="P134" s="370" t="str">
        <f>IFERROR(IF(ISNUMBER(INDEX(Active[B_NOAEL], 4)),
                          INDEX(Active[B_NOAEL], 4)/O134,""),"")</f>
        <v/>
      </c>
      <c r="Q134" s="370" t="str">
        <f>IFERROR(IF(Active5=TRUE,HLOOKUP(Bird_Chronic[[#This Row],[Crop]],Input_Scenario,14,FALSE)*HLOOKUP(Bird_Chronic[[#This Row],[Crop]],Input_Scenario,8,FALSE)*Bird_Chronic[[#This Row],[SVm]],""),"")</f>
        <v/>
      </c>
      <c r="R134" s="370" t="str">
        <f>IFERROR(IF(ISNUMBER(INDEX(Active[B_NOAEL], 5)),
                          INDEX(Active[B_NOAEL], 5)/Q134,""),"")</f>
        <v/>
      </c>
      <c r="S134" s="204"/>
      <c r="T134" s="56"/>
      <c r="U134" s="56"/>
      <c r="V134" s="56"/>
      <c r="W134" s="56"/>
      <c r="X134" s="56"/>
      <c r="Y134" s="56"/>
      <c r="Z134" s="56"/>
      <c r="AA134" s="56"/>
      <c r="AB134" s="56"/>
      <c r="AC134" s="56"/>
      <c r="AD134" s="56"/>
      <c r="AE134" s="56"/>
      <c r="AF134" s="56"/>
      <c r="AG134" s="56"/>
      <c r="AH134" s="56"/>
    </row>
    <row r="135" spans="1:34" s="106" customFormat="1" ht="16.5" customHeight="1">
      <c r="A135" s="56"/>
      <c r="B135" s="314" t="str">
        <f t="shared" ca="1" si="3"/>
        <v>No input</v>
      </c>
      <c r="C135" s="72" t="s">
        <v>180</v>
      </c>
      <c r="D135" s="73" t="s">
        <v>109</v>
      </c>
      <c r="E135" s="73" t="s">
        <v>209</v>
      </c>
      <c r="F135" s="113">
        <v>3.4</v>
      </c>
      <c r="G135" s="203" t="str">
        <f ca="1">IF(AND(Bird_Chronic[[#This Row],[Relevance]]="Input provided", Count&gt;=1),
       IF(B_ChronicScheme="C(mix)",
                 HLOOKUP(Bird_Chronic[[#This Row],[Crop]], Input_Scenario,10,FALSE)*Bird_Chronic[[#This Row],[SVm]]*HLOOKUP(Bird_Chronic[[#This Row],[Crop]],Input_Scenario,8,FALSE),""),"")</f>
        <v/>
      </c>
      <c r="H135" s="368" t="str">
        <f>IF(Count&gt;=1,
       IF(AND(B_ChronicScheme ="C(mix)", ISNUMBER(G135)), (B_NOAEL_form/G135),
       IF(AND(B_ChronicScheme = "HIsum", Count &gt; 1),
            IF(ISNUMBER(J135), IF(ISNUMBER(J135), 5/J135, 0) + IF(ISNUMBER(L135), 5/L135, 0) + IF(ISNUMBER(N135), 5/N135, 0) + IF(ISNUMBER(P135), 5/P135, 0) + IF(ISNUMBER(R135), 5/R135, 0),""), "")),"")</f>
        <v/>
      </c>
      <c r="I135" s="370" t="str">
        <f>IFERROR(IF(Active1=TRUE,HLOOKUP(Bird_Chronic[[#This Row],[Crop]],Input_Scenario,11,FALSE)*HLOOKUP(Bird_Chronic[[#This Row],[Crop]],Input_Scenario,8,FALSE)*Bird_Chronic[[#This Row],[SVm]],""),"")</f>
        <v/>
      </c>
      <c r="J135" s="370" t="str">
        <f>IFERROR(IF(ISNUMBER(INDEX(Active[B_NOAEL], 1)),
                          INDEX(Active[B_NOAEL], 1)/I135,""),"")</f>
        <v/>
      </c>
      <c r="K135" s="370" t="str">
        <f>IFERROR(IF(Active2=TRUE,HLOOKUP(Bird_Chronic[[#This Row],[Crop]],Input_Scenario,12,FALSE)*HLOOKUP(Bird_Chronic[[#This Row],[Crop]],Input_Scenario,8,FALSE)*Bird_Chronic[[#This Row],[SVm]],""),"")</f>
        <v/>
      </c>
      <c r="L135" s="370" t="str">
        <f>IFERROR(IF(ISNUMBER(INDEX(Active[B_NOAEL], 2)),
                          INDEX(Active[B_NOAEL], 2)/K135,""),"")</f>
        <v/>
      </c>
      <c r="M135" s="370" t="str">
        <f>IFERROR(IF(Active3=TRUE,HLOOKUP(Bird_Chronic[[#This Row],[Crop]],Input_Scenario,12,FALSE)*HLOOKUP(Bird_Chronic[[#This Row],[Crop]],Input_Scenario,8,FALSE)*Bird_Chronic[[#This Row],[SVm]],""),"")</f>
        <v/>
      </c>
      <c r="N135" s="370" t="str">
        <f>IFERROR(IF(ISNUMBER(INDEX(Active[B_NOAEL], 3)),
                          INDEX(Active[B_NOAEL], 3)/M135,""),"")</f>
        <v/>
      </c>
      <c r="O135" s="370" t="str">
        <f>IFERROR(IF(Active4=TRUE,HLOOKUP(Bird_Chronic[[#This Row],[Crop]],Input_Scenario,13,FALSE)*HLOOKUP(Bird_Chronic[[#This Row],[Crop]],Input_Scenario,8,FALSE)*Bird_Chronic[[#This Row],[SVm]],""),"")</f>
        <v/>
      </c>
      <c r="P135" s="370" t="str">
        <f>IFERROR(IF(ISNUMBER(INDEX(Active[B_NOAEL], 4)),
                          INDEX(Active[B_NOAEL], 4)/O135,""),"")</f>
        <v/>
      </c>
      <c r="Q135" s="370" t="str">
        <f>IFERROR(IF(Active5=TRUE,HLOOKUP(Bird_Chronic[[#This Row],[Crop]],Input_Scenario,14,FALSE)*HLOOKUP(Bird_Chronic[[#This Row],[Crop]],Input_Scenario,8,FALSE)*Bird_Chronic[[#This Row],[SVm]],""),"")</f>
        <v/>
      </c>
      <c r="R135" s="370" t="str">
        <f>IFERROR(IF(ISNUMBER(INDEX(Active[B_NOAEL], 5)),
                          INDEX(Active[B_NOAEL], 5)/Q135,""),"")</f>
        <v/>
      </c>
      <c r="S135" s="204"/>
      <c r="T135" s="56"/>
      <c r="U135" s="56"/>
      <c r="V135" s="56"/>
      <c r="W135" s="56"/>
      <c r="X135" s="56"/>
      <c r="Y135" s="56"/>
      <c r="Z135" s="56"/>
      <c r="AA135" s="56"/>
      <c r="AB135" s="56"/>
      <c r="AC135" s="56"/>
      <c r="AD135" s="56"/>
      <c r="AE135" s="56"/>
      <c r="AF135" s="56"/>
      <c r="AG135" s="56"/>
      <c r="AH135" s="56"/>
    </row>
    <row r="136" spans="1:34" s="106" customFormat="1" ht="16.5" customHeight="1">
      <c r="A136" s="56"/>
      <c r="B136" s="314" t="str">
        <f t="shared" ca="1" si="3"/>
        <v>No input</v>
      </c>
      <c r="C136" s="72" t="s">
        <v>180</v>
      </c>
      <c r="D136" s="73" t="s">
        <v>109</v>
      </c>
      <c r="E136" s="73" t="s">
        <v>210</v>
      </c>
      <c r="F136" s="113">
        <v>3.3</v>
      </c>
      <c r="G136" s="203" t="str">
        <f ca="1">IF(AND(Bird_Chronic[[#This Row],[Relevance]]="Input provided", Count&gt;=1),
       IF(B_ChronicScheme="C(mix)",
                 HLOOKUP(Bird_Chronic[[#This Row],[Crop]], Input_Scenario,10,FALSE)*Bird_Chronic[[#This Row],[SVm]]*HLOOKUP(Bird_Chronic[[#This Row],[Crop]],Input_Scenario,8,FALSE),""),"")</f>
        <v/>
      </c>
      <c r="H136" s="368" t="str">
        <f>IF(Count&gt;=1,
       IF(AND(B_ChronicScheme ="C(mix)", ISNUMBER(G136)), (B_NOAEL_form/G136),
       IF(AND(B_ChronicScheme = "HIsum", Count &gt; 1),
            IF(ISNUMBER(J136), IF(ISNUMBER(J136), 5/J136, 0) + IF(ISNUMBER(L136), 5/L136, 0) + IF(ISNUMBER(N136), 5/N136, 0) + IF(ISNUMBER(P136), 5/P136, 0) + IF(ISNUMBER(R136), 5/R136, 0),""), "")),"")</f>
        <v/>
      </c>
      <c r="I136" s="370" t="str">
        <f>IFERROR(IF(Active1=TRUE,HLOOKUP(Bird_Chronic[[#This Row],[Crop]],Input_Scenario,11,FALSE)*HLOOKUP(Bird_Chronic[[#This Row],[Crop]],Input_Scenario,8,FALSE)*Bird_Chronic[[#This Row],[SVm]],""),"")</f>
        <v/>
      </c>
      <c r="J136" s="370" t="str">
        <f>IFERROR(IF(ISNUMBER(INDEX(Active[B_NOAEL], 1)),
                          INDEX(Active[B_NOAEL], 1)/I136,""),"")</f>
        <v/>
      </c>
      <c r="K136" s="370" t="str">
        <f>IFERROR(IF(Active2=TRUE,HLOOKUP(Bird_Chronic[[#This Row],[Crop]],Input_Scenario,12,FALSE)*HLOOKUP(Bird_Chronic[[#This Row],[Crop]],Input_Scenario,8,FALSE)*Bird_Chronic[[#This Row],[SVm]],""),"")</f>
        <v/>
      </c>
      <c r="L136" s="370" t="str">
        <f>IFERROR(IF(ISNUMBER(INDEX(Active[B_NOAEL], 2)),
                          INDEX(Active[B_NOAEL], 2)/K136,""),"")</f>
        <v/>
      </c>
      <c r="M136" s="370" t="str">
        <f>IFERROR(IF(Active3=TRUE,HLOOKUP(Bird_Chronic[[#This Row],[Crop]],Input_Scenario,12,FALSE)*HLOOKUP(Bird_Chronic[[#This Row],[Crop]],Input_Scenario,8,FALSE)*Bird_Chronic[[#This Row],[SVm]],""),"")</f>
        <v/>
      </c>
      <c r="N136" s="370" t="str">
        <f>IFERROR(IF(ISNUMBER(INDEX(Active[B_NOAEL], 3)),
                          INDEX(Active[B_NOAEL], 3)/M136,""),"")</f>
        <v/>
      </c>
      <c r="O136" s="370" t="str">
        <f>IFERROR(IF(Active4=TRUE,HLOOKUP(Bird_Chronic[[#This Row],[Crop]],Input_Scenario,13,FALSE)*HLOOKUP(Bird_Chronic[[#This Row],[Crop]],Input_Scenario,8,FALSE)*Bird_Chronic[[#This Row],[SVm]],""),"")</f>
        <v/>
      </c>
      <c r="P136" s="370" t="str">
        <f>IFERROR(IF(ISNUMBER(INDEX(Active[B_NOAEL], 4)),
                          INDEX(Active[B_NOAEL], 4)/O136,""),"")</f>
        <v/>
      </c>
      <c r="Q136" s="370" t="str">
        <f>IFERROR(IF(Active5=TRUE,HLOOKUP(Bird_Chronic[[#This Row],[Crop]],Input_Scenario,14,FALSE)*HLOOKUP(Bird_Chronic[[#This Row],[Crop]],Input_Scenario,8,FALSE)*Bird_Chronic[[#This Row],[SVm]],""),"")</f>
        <v/>
      </c>
      <c r="R136" s="370" t="str">
        <f>IFERROR(IF(ISNUMBER(INDEX(Active[B_NOAEL], 5)),
                          INDEX(Active[B_NOAEL], 5)/Q136,""),"")</f>
        <v/>
      </c>
      <c r="S136" s="204"/>
      <c r="T136" s="56"/>
      <c r="U136" s="56"/>
      <c r="V136" s="56"/>
      <c r="W136" s="56"/>
      <c r="X136" s="56"/>
      <c r="Y136" s="56"/>
      <c r="Z136" s="56"/>
      <c r="AA136" s="56"/>
      <c r="AB136" s="56"/>
      <c r="AC136" s="56"/>
      <c r="AD136" s="56"/>
      <c r="AE136" s="56"/>
      <c r="AF136" s="56"/>
      <c r="AG136" s="56"/>
      <c r="AH136" s="56"/>
    </row>
    <row r="137" spans="1:34" s="106" customFormat="1" ht="16.5" customHeight="1">
      <c r="A137" s="56"/>
      <c r="B137" s="314" t="str">
        <f t="shared" ca="1" si="3"/>
        <v>No input</v>
      </c>
      <c r="C137" s="72" t="s">
        <v>181</v>
      </c>
      <c r="D137" s="73" t="s">
        <v>108</v>
      </c>
      <c r="E137" s="73" t="s">
        <v>211</v>
      </c>
      <c r="F137" s="113">
        <v>11.3</v>
      </c>
      <c r="G137" s="203" t="str">
        <f ca="1">IF(AND(Bird_Chronic[[#This Row],[Relevance]]="Input provided", Count&gt;=1),
       IF(B_ChronicScheme="C(mix)",
                 HLOOKUP(Bird_Chronic[[#This Row],[Crop]], Input_Scenario,10,FALSE)*Bird_Chronic[[#This Row],[SVm]]*HLOOKUP(Bird_Chronic[[#This Row],[Crop]],Input_Scenario,8,FALSE),""),"")</f>
        <v/>
      </c>
      <c r="H137" s="368" t="str">
        <f>IF(Count&gt;=1,
       IF(AND(B_ChronicScheme ="C(mix)", ISNUMBER(G137)), (B_NOAEL_form/G137),
       IF(AND(B_ChronicScheme = "HIsum", Count &gt; 1),
            IF(ISNUMBER(J137), IF(ISNUMBER(J137), 5/J137, 0) + IF(ISNUMBER(L137), 5/L137, 0) + IF(ISNUMBER(N137), 5/N137, 0) + IF(ISNUMBER(P137), 5/P137, 0) + IF(ISNUMBER(R137), 5/R137, 0),""), "")),"")</f>
        <v/>
      </c>
      <c r="I137" s="370" t="str">
        <f>IFERROR(IF(Active1=TRUE,HLOOKUP(Bird_Chronic[[#This Row],[Crop]],Input_Scenario,11,FALSE)*HLOOKUP(Bird_Chronic[[#This Row],[Crop]],Input_Scenario,8,FALSE)*Bird_Chronic[[#This Row],[SVm]],""),"")</f>
        <v/>
      </c>
      <c r="J137" s="370" t="str">
        <f>IFERROR(IF(ISNUMBER(INDEX(Active[B_NOAEL], 1)),
                          INDEX(Active[B_NOAEL], 1)/I137,""),"")</f>
        <v/>
      </c>
      <c r="K137" s="370" t="str">
        <f>IFERROR(IF(Active2=TRUE,HLOOKUP(Bird_Chronic[[#This Row],[Crop]],Input_Scenario,12,FALSE)*HLOOKUP(Bird_Chronic[[#This Row],[Crop]],Input_Scenario,8,FALSE)*Bird_Chronic[[#This Row],[SVm]],""),"")</f>
        <v/>
      </c>
      <c r="L137" s="370" t="str">
        <f>IFERROR(IF(ISNUMBER(INDEX(Active[B_NOAEL], 2)),
                          INDEX(Active[B_NOAEL], 2)/K137,""),"")</f>
        <v/>
      </c>
      <c r="M137" s="370" t="str">
        <f>IFERROR(IF(Active3=TRUE,HLOOKUP(Bird_Chronic[[#This Row],[Crop]],Input_Scenario,12,FALSE)*HLOOKUP(Bird_Chronic[[#This Row],[Crop]],Input_Scenario,8,FALSE)*Bird_Chronic[[#This Row],[SVm]],""),"")</f>
        <v/>
      </c>
      <c r="N137" s="370" t="str">
        <f>IFERROR(IF(ISNUMBER(INDEX(Active[B_NOAEL], 3)),
                          INDEX(Active[B_NOAEL], 3)/M137,""),"")</f>
        <v/>
      </c>
      <c r="O137" s="370" t="str">
        <f>IFERROR(IF(Active4=TRUE,HLOOKUP(Bird_Chronic[[#This Row],[Crop]],Input_Scenario,13,FALSE)*HLOOKUP(Bird_Chronic[[#This Row],[Crop]],Input_Scenario,8,FALSE)*Bird_Chronic[[#This Row],[SVm]],""),"")</f>
        <v/>
      </c>
      <c r="P137" s="370" t="str">
        <f>IFERROR(IF(ISNUMBER(INDEX(Active[B_NOAEL], 4)),
                          INDEX(Active[B_NOAEL], 4)/O137,""),"")</f>
        <v/>
      </c>
      <c r="Q137" s="370" t="str">
        <f>IFERROR(IF(Active5=TRUE,HLOOKUP(Bird_Chronic[[#This Row],[Crop]],Input_Scenario,14,FALSE)*HLOOKUP(Bird_Chronic[[#This Row],[Crop]],Input_Scenario,8,FALSE)*Bird_Chronic[[#This Row],[SVm]],""),"")</f>
        <v/>
      </c>
      <c r="R137" s="370" t="str">
        <f>IFERROR(IF(ISNUMBER(INDEX(Active[B_NOAEL], 5)),
                          INDEX(Active[B_NOAEL], 5)/Q137,""),"")</f>
        <v/>
      </c>
      <c r="S137" s="204"/>
      <c r="T137" s="56"/>
      <c r="U137" s="56"/>
      <c r="V137" s="56"/>
      <c r="W137" s="56"/>
      <c r="X137" s="56"/>
      <c r="Y137" s="56"/>
      <c r="Z137" s="56"/>
      <c r="AA137" s="56"/>
      <c r="AB137" s="56"/>
      <c r="AC137" s="56"/>
      <c r="AD137" s="56"/>
      <c r="AE137" s="56"/>
      <c r="AF137" s="56"/>
      <c r="AG137" s="56"/>
      <c r="AH137" s="56"/>
    </row>
    <row r="138" spans="1:34" s="106" customFormat="1" ht="16.5" customHeight="1">
      <c r="A138" s="56"/>
      <c r="B138" s="314" t="str">
        <f t="shared" ca="1" si="3"/>
        <v>No input</v>
      </c>
      <c r="C138" s="72" t="s">
        <v>181</v>
      </c>
      <c r="D138" s="73" t="s">
        <v>110</v>
      </c>
      <c r="E138" s="73" t="s">
        <v>210</v>
      </c>
      <c r="F138" s="113">
        <v>10.9</v>
      </c>
      <c r="G138" s="203" t="str">
        <f ca="1">IF(AND(Bird_Chronic[[#This Row],[Relevance]]="Input provided", Count&gt;=1),
       IF(B_ChronicScheme="C(mix)",
                 HLOOKUP(Bird_Chronic[[#This Row],[Crop]], Input_Scenario,10,FALSE)*Bird_Chronic[[#This Row],[SVm]]*HLOOKUP(Bird_Chronic[[#This Row],[Crop]],Input_Scenario,8,FALSE),""),"")</f>
        <v/>
      </c>
      <c r="H138" s="368" t="str">
        <f>IF(Count&gt;=1,
       IF(AND(B_ChronicScheme ="C(mix)", ISNUMBER(G138)), (B_NOAEL_form/G138),
       IF(AND(B_ChronicScheme = "HIsum", Count &gt; 1),
            IF(ISNUMBER(J138), IF(ISNUMBER(J138), 5/J138, 0) + IF(ISNUMBER(L138), 5/L138, 0) + IF(ISNUMBER(N138), 5/N138, 0) + IF(ISNUMBER(P138), 5/P138, 0) + IF(ISNUMBER(R138), 5/R138, 0),""), "")),"")</f>
        <v/>
      </c>
      <c r="I138" s="370" t="str">
        <f>IFERROR(IF(Active1=TRUE,HLOOKUP(Bird_Chronic[[#This Row],[Crop]],Input_Scenario,11,FALSE)*HLOOKUP(Bird_Chronic[[#This Row],[Crop]],Input_Scenario,8,FALSE)*Bird_Chronic[[#This Row],[SVm]],""),"")</f>
        <v/>
      </c>
      <c r="J138" s="370" t="str">
        <f>IFERROR(IF(ISNUMBER(INDEX(Active[B_NOAEL], 1)),
                          INDEX(Active[B_NOAEL], 1)/I138,""),"")</f>
        <v/>
      </c>
      <c r="K138" s="370" t="str">
        <f>IFERROR(IF(Active2=TRUE,HLOOKUP(Bird_Chronic[[#This Row],[Crop]],Input_Scenario,12,FALSE)*HLOOKUP(Bird_Chronic[[#This Row],[Crop]],Input_Scenario,8,FALSE)*Bird_Chronic[[#This Row],[SVm]],""),"")</f>
        <v/>
      </c>
      <c r="L138" s="370" t="str">
        <f>IFERROR(IF(ISNUMBER(INDEX(Active[B_NOAEL], 2)),
                          INDEX(Active[B_NOAEL], 2)/K138,""),"")</f>
        <v/>
      </c>
      <c r="M138" s="370" t="str">
        <f>IFERROR(IF(Active3=TRUE,HLOOKUP(Bird_Chronic[[#This Row],[Crop]],Input_Scenario,12,FALSE)*HLOOKUP(Bird_Chronic[[#This Row],[Crop]],Input_Scenario,8,FALSE)*Bird_Chronic[[#This Row],[SVm]],""),"")</f>
        <v/>
      </c>
      <c r="N138" s="370" t="str">
        <f>IFERROR(IF(ISNUMBER(INDEX(Active[B_NOAEL], 3)),
                          INDEX(Active[B_NOAEL], 3)/M138,""),"")</f>
        <v/>
      </c>
      <c r="O138" s="370" t="str">
        <f>IFERROR(IF(Active4=TRUE,HLOOKUP(Bird_Chronic[[#This Row],[Crop]],Input_Scenario,13,FALSE)*HLOOKUP(Bird_Chronic[[#This Row],[Crop]],Input_Scenario,8,FALSE)*Bird_Chronic[[#This Row],[SVm]],""),"")</f>
        <v/>
      </c>
      <c r="P138" s="370" t="str">
        <f>IFERROR(IF(ISNUMBER(INDEX(Active[B_NOAEL], 4)),
                          INDEX(Active[B_NOAEL], 4)/O138,""),"")</f>
        <v/>
      </c>
      <c r="Q138" s="370" t="str">
        <f>IFERROR(IF(Active5=TRUE,HLOOKUP(Bird_Chronic[[#This Row],[Crop]],Input_Scenario,14,FALSE)*HLOOKUP(Bird_Chronic[[#This Row],[Crop]],Input_Scenario,8,FALSE)*Bird_Chronic[[#This Row],[SVm]],""),"")</f>
        <v/>
      </c>
      <c r="R138" s="370" t="str">
        <f>IFERROR(IF(ISNUMBER(INDEX(Active[B_NOAEL], 5)),
                          INDEX(Active[B_NOAEL], 5)/Q138,""),"")</f>
        <v/>
      </c>
      <c r="S138" s="204"/>
      <c r="T138" s="56"/>
      <c r="U138" s="56"/>
      <c r="V138" s="56"/>
      <c r="W138" s="56"/>
      <c r="X138" s="56"/>
      <c r="Y138" s="56"/>
      <c r="Z138" s="56"/>
      <c r="AA138" s="56"/>
      <c r="AB138" s="56"/>
      <c r="AC138" s="56"/>
      <c r="AD138" s="56"/>
      <c r="AE138" s="56"/>
      <c r="AF138" s="56"/>
      <c r="AG138" s="56"/>
      <c r="AH138" s="56"/>
    </row>
    <row r="139" spans="1:34" s="106" customFormat="1" ht="16.5" customHeight="1">
      <c r="A139" s="56"/>
      <c r="B139" s="314" t="str">
        <f t="shared" ca="1" si="3"/>
        <v>No input</v>
      </c>
      <c r="C139" s="72" t="s">
        <v>181</v>
      </c>
      <c r="D139" s="73" t="s">
        <v>111</v>
      </c>
      <c r="E139" s="73" t="s">
        <v>211</v>
      </c>
      <c r="F139" s="113">
        <v>9.6999999999999993</v>
      </c>
      <c r="G139" s="203" t="str">
        <f ca="1">IF(AND(Bird_Chronic[[#This Row],[Relevance]]="Input provided", Count&gt;=1),
       IF(B_ChronicScheme="C(mix)",
                 HLOOKUP(Bird_Chronic[[#This Row],[Crop]], Input_Scenario,10,FALSE)*Bird_Chronic[[#This Row],[SVm]]*HLOOKUP(Bird_Chronic[[#This Row],[Crop]],Input_Scenario,8,FALSE),""),"")</f>
        <v/>
      </c>
      <c r="H139" s="368" t="str">
        <f>IF(Count&gt;=1,
       IF(AND(B_ChronicScheme ="C(mix)", ISNUMBER(G139)), (B_NOAEL_form/G139),
       IF(AND(B_ChronicScheme = "HIsum", Count &gt; 1),
            IF(ISNUMBER(J139), IF(ISNUMBER(J139), 5/J139, 0) + IF(ISNUMBER(L139), 5/L139, 0) + IF(ISNUMBER(N139), 5/N139, 0) + IF(ISNUMBER(P139), 5/P139, 0) + IF(ISNUMBER(R139), 5/R139, 0),""), "")),"")</f>
        <v/>
      </c>
      <c r="I139" s="370" t="str">
        <f>IFERROR(IF(Active1=TRUE,HLOOKUP(Bird_Chronic[[#This Row],[Crop]],Input_Scenario,11,FALSE)*HLOOKUP(Bird_Chronic[[#This Row],[Crop]],Input_Scenario,8,FALSE)*Bird_Chronic[[#This Row],[SVm]],""),"")</f>
        <v/>
      </c>
      <c r="J139" s="370" t="str">
        <f>IFERROR(IF(ISNUMBER(INDEX(Active[B_NOAEL], 1)),
                          INDEX(Active[B_NOAEL], 1)/I139,""),"")</f>
        <v/>
      </c>
      <c r="K139" s="370" t="str">
        <f>IFERROR(IF(Active2=TRUE,HLOOKUP(Bird_Chronic[[#This Row],[Crop]],Input_Scenario,12,FALSE)*HLOOKUP(Bird_Chronic[[#This Row],[Crop]],Input_Scenario,8,FALSE)*Bird_Chronic[[#This Row],[SVm]],""),"")</f>
        <v/>
      </c>
      <c r="L139" s="370" t="str">
        <f>IFERROR(IF(ISNUMBER(INDEX(Active[B_NOAEL], 2)),
                          INDEX(Active[B_NOAEL], 2)/K139,""),"")</f>
        <v/>
      </c>
      <c r="M139" s="370" t="str">
        <f>IFERROR(IF(Active3=TRUE,HLOOKUP(Bird_Chronic[[#This Row],[Crop]],Input_Scenario,12,FALSE)*HLOOKUP(Bird_Chronic[[#This Row],[Crop]],Input_Scenario,8,FALSE)*Bird_Chronic[[#This Row],[SVm]],""),"")</f>
        <v/>
      </c>
      <c r="N139" s="370" t="str">
        <f>IFERROR(IF(ISNUMBER(INDEX(Active[B_NOAEL], 3)),
                          INDEX(Active[B_NOAEL], 3)/M139,""),"")</f>
        <v/>
      </c>
      <c r="O139" s="370" t="str">
        <f>IFERROR(IF(Active4=TRUE,HLOOKUP(Bird_Chronic[[#This Row],[Crop]],Input_Scenario,13,FALSE)*HLOOKUP(Bird_Chronic[[#This Row],[Crop]],Input_Scenario,8,FALSE)*Bird_Chronic[[#This Row],[SVm]],""),"")</f>
        <v/>
      </c>
      <c r="P139" s="370" t="str">
        <f>IFERROR(IF(ISNUMBER(INDEX(Active[B_NOAEL], 4)),
                          INDEX(Active[B_NOAEL], 4)/O139,""),"")</f>
        <v/>
      </c>
      <c r="Q139" s="370" t="str">
        <f>IFERROR(IF(Active5=TRUE,HLOOKUP(Bird_Chronic[[#This Row],[Crop]],Input_Scenario,14,FALSE)*HLOOKUP(Bird_Chronic[[#This Row],[Crop]],Input_Scenario,8,FALSE)*Bird_Chronic[[#This Row],[SVm]],""),"")</f>
        <v/>
      </c>
      <c r="R139" s="370" t="str">
        <f>IFERROR(IF(ISNUMBER(INDEX(Active[B_NOAEL], 5)),
                          INDEX(Active[B_NOAEL], 5)/Q139,""),"")</f>
        <v/>
      </c>
      <c r="S139" s="204"/>
      <c r="T139" s="56"/>
      <c r="U139" s="56"/>
      <c r="V139" s="56"/>
      <c r="W139" s="56"/>
      <c r="X139" s="56"/>
      <c r="Y139" s="56"/>
      <c r="Z139" s="56"/>
      <c r="AA139" s="56"/>
      <c r="AB139" s="56"/>
      <c r="AC139" s="56"/>
      <c r="AD139" s="56"/>
      <c r="AE139" s="56"/>
      <c r="AF139" s="56"/>
      <c r="AG139" s="56"/>
      <c r="AH139" s="56"/>
    </row>
    <row r="140" spans="1:34" s="106" customFormat="1" ht="16.5" customHeight="1">
      <c r="A140" s="56"/>
      <c r="B140" s="314" t="str">
        <f t="shared" ca="1" si="3"/>
        <v>No input</v>
      </c>
      <c r="C140" s="72" t="s">
        <v>181</v>
      </c>
      <c r="D140" s="73" t="s">
        <v>109</v>
      </c>
      <c r="E140" s="73" t="s">
        <v>210</v>
      </c>
      <c r="F140" s="113">
        <v>4.4000000000000004</v>
      </c>
      <c r="G140" s="203" t="str">
        <f ca="1">IF(AND(Bird_Chronic[[#This Row],[Relevance]]="Input provided", Count&gt;=1),
       IF(B_ChronicScheme="C(mix)",
                 HLOOKUP(Bird_Chronic[[#This Row],[Crop]], Input_Scenario,10,FALSE)*Bird_Chronic[[#This Row],[SVm]]*HLOOKUP(Bird_Chronic[[#This Row],[Crop]],Input_Scenario,8,FALSE),""),"")</f>
        <v/>
      </c>
      <c r="H140" s="368" t="str">
        <f>IF(Count&gt;=1,
       IF(AND(B_ChronicScheme ="C(mix)", ISNUMBER(G140)), (B_NOAEL_form/G140),
       IF(AND(B_ChronicScheme = "HIsum", Count &gt; 1),
            IF(ISNUMBER(J140), IF(ISNUMBER(J140), 5/J140, 0) + IF(ISNUMBER(L140), 5/L140, 0) + IF(ISNUMBER(N140), 5/N140, 0) + IF(ISNUMBER(P140), 5/P140, 0) + IF(ISNUMBER(R140), 5/R140, 0),""), "")),"")</f>
        <v/>
      </c>
      <c r="I140" s="370" t="str">
        <f>IFERROR(IF(Active1=TRUE,HLOOKUP(Bird_Chronic[[#This Row],[Crop]],Input_Scenario,11,FALSE)*HLOOKUP(Bird_Chronic[[#This Row],[Crop]],Input_Scenario,8,FALSE)*Bird_Chronic[[#This Row],[SVm]],""),"")</f>
        <v/>
      </c>
      <c r="J140" s="370" t="str">
        <f>IFERROR(IF(ISNUMBER(INDEX(Active[B_NOAEL], 1)),
                          INDEX(Active[B_NOAEL], 1)/I140,""),"")</f>
        <v/>
      </c>
      <c r="K140" s="370" t="str">
        <f>IFERROR(IF(Active2=TRUE,HLOOKUP(Bird_Chronic[[#This Row],[Crop]],Input_Scenario,12,FALSE)*HLOOKUP(Bird_Chronic[[#This Row],[Crop]],Input_Scenario,8,FALSE)*Bird_Chronic[[#This Row],[SVm]],""),"")</f>
        <v/>
      </c>
      <c r="L140" s="370" t="str">
        <f>IFERROR(IF(ISNUMBER(INDEX(Active[B_NOAEL], 2)),
                          INDEX(Active[B_NOAEL], 2)/K140,""),"")</f>
        <v/>
      </c>
      <c r="M140" s="370" t="str">
        <f>IFERROR(IF(Active3=TRUE,HLOOKUP(Bird_Chronic[[#This Row],[Crop]],Input_Scenario,12,FALSE)*HLOOKUP(Bird_Chronic[[#This Row],[Crop]],Input_Scenario,8,FALSE)*Bird_Chronic[[#This Row],[SVm]],""),"")</f>
        <v/>
      </c>
      <c r="N140" s="370" t="str">
        <f>IFERROR(IF(ISNUMBER(INDEX(Active[B_NOAEL], 3)),
                          INDEX(Active[B_NOAEL], 3)/M140,""),"")</f>
        <v/>
      </c>
      <c r="O140" s="370" t="str">
        <f>IFERROR(IF(Active4=TRUE,HLOOKUP(Bird_Chronic[[#This Row],[Crop]],Input_Scenario,13,FALSE)*HLOOKUP(Bird_Chronic[[#This Row],[Crop]],Input_Scenario,8,FALSE)*Bird_Chronic[[#This Row],[SVm]],""),"")</f>
        <v/>
      </c>
      <c r="P140" s="370" t="str">
        <f>IFERROR(IF(ISNUMBER(INDEX(Active[B_NOAEL], 4)),
                          INDEX(Active[B_NOAEL], 4)/O140,""),"")</f>
        <v/>
      </c>
      <c r="Q140" s="370" t="str">
        <f>IFERROR(IF(Active5=TRUE,HLOOKUP(Bird_Chronic[[#This Row],[Crop]],Input_Scenario,14,FALSE)*HLOOKUP(Bird_Chronic[[#This Row],[Crop]],Input_Scenario,8,FALSE)*Bird_Chronic[[#This Row],[SVm]],""),"")</f>
        <v/>
      </c>
      <c r="R140" s="370" t="str">
        <f>IFERROR(IF(ISNUMBER(INDEX(Active[B_NOAEL], 5)),
                          INDEX(Active[B_NOAEL], 5)/Q140,""),"")</f>
        <v/>
      </c>
      <c r="S140" s="204"/>
      <c r="T140" s="56"/>
      <c r="U140" s="56"/>
      <c r="V140" s="56"/>
      <c r="W140" s="56"/>
      <c r="X140" s="56"/>
      <c r="Y140" s="56"/>
      <c r="Z140" s="56"/>
      <c r="AA140" s="56"/>
      <c r="AB140" s="56"/>
      <c r="AC140" s="56"/>
      <c r="AD140" s="56"/>
      <c r="AE140" s="56"/>
      <c r="AF140" s="56"/>
      <c r="AG140" s="56"/>
      <c r="AH140" s="56"/>
    </row>
    <row r="141" spans="1:34" s="106" customFormat="1" ht="16.5" customHeight="1">
      <c r="A141" s="56"/>
      <c r="B141" s="314" t="str">
        <f t="shared" ca="1" si="3"/>
        <v>No input</v>
      </c>
      <c r="C141" s="72" t="s">
        <v>181</v>
      </c>
      <c r="D141" s="73" t="s">
        <v>182</v>
      </c>
      <c r="E141" s="73" t="s">
        <v>220</v>
      </c>
      <c r="F141" s="113">
        <v>13.4</v>
      </c>
      <c r="G141" s="203" t="str">
        <f ca="1">IF(AND(Bird_Chronic[[#This Row],[Relevance]]="Input provided", Count&gt;=1),
       IF(B_ChronicScheme="C(mix)",
                 HLOOKUP(Bird_Chronic[[#This Row],[Crop]], Input_Scenario,10,FALSE)*Bird_Chronic[[#This Row],[SVm]]*HLOOKUP(Bird_Chronic[[#This Row],[Crop]],Input_Scenario,8,FALSE),""),"")</f>
        <v/>
      </c>
      <c r="H141" s="368" t="str">
        <f>IF(Count&gt;=1,
       IF(AND(B_ChronicScheme ="C(mix)", ISNUMBER(G141)), (B_NOAEL_form/G141),
       IF(AND(B_ChronicScheme = "HIsum", Count &gt; 1),
            IF(ISNUMBER(J141), IF(ISNUMBER(J141), 5/J141, 0) + IF(ISNUMBER(L141), 5/L141, 0) + IF(ISNUMBER(N141), 5/N141, 0) + IF(ISNUMBER(P141), 5/P141, 0) + IF(ISNUMBER(R141), 5/R141, 0),""), "")),"")</f>
        <v/>
      </c>
      <c r="I141" s="370" t="str">
        <f>IFERROR(IF(Active1=TRUE,HLOOKUP(Bird_Chronic[[#This Row],[Crop]],Input_Scenario,11,FALSE)*HLOOKUP(Bird_Chronic[[#This Row],[Crop]],Input_Scenario,8,FALSE)*Bird_Chronic[[#This Row],[SVm]],""),"")</f>
        <v/>
      </c>
      <c r="J141" s="370" t="str">
        <f>IFERROR(IF(ISNUMBER(INDEX(Active[B_NOAEL], 1)),
                          INDEX(Active[B_NOAEL], 1)/I141,""),"")</f>
        <v/>
      </c>
      <c r="K141" s="370" t="str">
        <f>IFERROR(IF(Active2=TRUE,HLOOKUP(Bird_Chronic[[#This Row],[Crop]],Input_Scenario,12,FALSE)*HLOOKUP(Bird_Chronic[[#This Row],[Crop]],Input_Scenario,8,FALSE)*Bird_Chronic[[#This Row],[SVm]],""),"")</f>
        <v/>
      </c>
      <c r="L141" s="370" t="str">
        <f>IFERROR(IF(ISNUMBER(INDEX(Active[B_NOAEL], 2)),
                          INDEX(Active[B_NOAEL], 2)/K141,""),"")</f>
        <v/>
      </c>
      <c r="M141" s="370" t="str">
        <f>IFERROR(IF(Active3=TRUE,HLOOKUP(Bird_Chronic[[#This Row],[Crop]],Input_Scenario,12,FALSE)*HLOOKUP(Bird_Chronic[[#This Row],[Crop]],Input_Scenario,8,FALSE)*Bird_Chronic[[#This Row],[SVm]],""),"")</f>
        <v/>
      </c>
      <c r="N141" s="370" t="str">
        <f>IFERROR(IF(ISNUMBER(INDEX(Active[B_NOAEL], 3)),
                          INDEX(Active[B_NOAEL], 3)/M141,""),"")</f>
        <v/>
      </c>
      <c r="O141" s="370" t="str">
        <f>IFERROR(IF(Active4=TRUE,HLOOKUP(Bird_Chronic[[#This Row],[Crop]],Input_Scenario,13,FALSE)*HLOOKUP(Bird_Chronic[[#This Row],[Crop]],Input_Scenario,8,FALSE)*Bird_Chronic[[#This Row],[SVm]],""),"")</f>
        <v/>
      </c>
      <c r="P141" s="370" t="str">
        <f>IFERROR(IF(ISNUMBER(INDEX(Active[B_NOAEL], 4)),
                          INDEX(Active[B_NOAEL], 4)/O141,""),"")</f>
        <v/>
      </c>
      <c r="Q141" s="370" t="str">
        <f>IFERROR(IF(Active5=TRUE,HLOOKUP(Bird_Chronic[[#This Row],[Crop]],Input_Scenario,14,FALSE)*HLOOKUP(Bird_Chronic[[#This Row],[Crop]],Input_Scenario,8,FALSE)*Bird_Chronic[[#This Row],[SVm]],""),"")</f>
        <v/>
      </c>
      <c r="R141" s="370" t="str">
        <f>IFERROR(IF(ISNUMBER(INDEX(Active[B_NOAEL], 5)),
                          INDEX(Active[B_NOAEL], 5)/Q141,""),"")</f>
        <v/>
      </c>
      <c r="S141" s="204"/>
      <c r="T141" s="56"/>
      <c r="U141" s="56"/>
      <c r="V141" s="56"/>
      <c r="W141" s="56"/>
      <c r="X141" s="56"/>
      <c r="Y141" s="56"/>
      <c r="Z141" s="56"/>
      <c r="AA141" s="56"/>
      <c r="AB141" s="56"/>
      <c r="AC141" s="56"/>
      <c r="AD141" s="56"/>
      <c r="AE141" s="56"/>
      <c r="AF141" s="56"/>
      <c r="AG141" s="56"/>
      <c r="AH141" s="56"/>
    </row>
    <row r="142" spans="1:34" s="106" customFormat="1" ht="16.5" customHeight="1">
      <c r="A142" s="56"/>
      <c r="B142" s="314" t="str">
        <f t="shared" ca="1" si="3"/>
        <v>No input</v>
      </c>
      <c r="C142" s="72" t="s">
        <v>229</v>
      </c>
      <c r="D142" s="73" t="s">
        <v>108</v>
      </c>
      <c r="E142" s="73" t="s">
        <v>211</v>
      </c>
      <c r="F142" s="113">
        <v>5.9</v>
      </c>
      <c r="G142" s="203" t="str">
        <f ca="1">IF(AND(Bird_Chronic[[#This Row],[Relevance]]="Input provided", Count&gt;=1),
       IF(B_ChronicScheme="C(mix)",
                 HLOOKUP(Bird_Chronic[[#This Row],[Crop]], Input_Scenario,10,FALSE)*Bird_Chronic[[#This Row],[SVm]]*HLOOKUP(Bird_Chronic[[#This Row],[Crop]],Input_Scenario,8,FALSE),""),"")</f>
        <v/>
      </c>
      <c r="H142" s="368" t="str">
        <f>IF(Count&gt;=1,
       IF(AND(B_ChronicScheme ="C(mix)", ISNUMBER(G142)), (B_NOAEL_form/G142),
       IF(AND(B_ChronicScheme = "HIsum", Count &gt; 1),
            IF(ISNUMBER(J142), IF(ISNUMBER(J142), 5/J142, 0) + IF(ISNUMBER(L142), 5/L142, 0) + IF(ISNUMBER(N142), 5/N142, 0) + IF(ISNUMBER(P142), 5/P142, 0) + IF(ISNUMBER(R142), 5/R142, 0),""), "")),"")</f>
        <v/>
      </c>
      <c r="I142" s="370" t="str">
        <f>IFERROR(IF(Active1=TRUE,HLOOKUP(Bird_Chronic[[#This Row],[Crop]],Input_Scenario,11,FALSE)*HLOOKUP(Bird_Chronic[[#This Row],[Crop]],Input_Scenario,8,FALSE)*Bird_Chronic[[#This Row],[SVm]],""),"")</f>
        <v/>
      </c>
      <c r="J142" s="370" t="str">
        <f>IFERROR(IF(ISNUMBER(INDEX(Active[B_NOAEL], 1)),
                          INDEX(Active[B_NOAEL], 1)/I142,""),"")</f>
        <v/>
      </c>
      <c r="K142" s="370" t="str">
        <f>IFERROR(IF(Active2=TRUE,HLOOKUP(Bird_Chronic[[#This Row],[Crop]],Input_Scenario,12,FALSE)*HLOOKUP(Bird_Chronic[[#This Row],[Crop]],Input_Scenario,8,FALSE)*Bird_Chronic[[#This Row],[SVm]],""),"")</f>
        <v/>
      </c>
      <c r="L142" s="370" t="str">
        <f>IFERROR(IF(ISNUMBER(INDEX(Active[B_NOAEL], 2)),
                          INDEX(Active[B_NOAEL], 2)/K142,""),"")</f>
        <v/>
      </c>
      <c r="M142" s="370" t="str">
        <f>IFERROR(IF(Active3=TRUE,HLOOKUP(Bird_Chronic[[#This Row],[Crop]],Input_Scenario,12,FALSE)*HLOOKUP(Bird_Chronic[[#This Row],[Crop]],Input_Scenario,8,FALSE)*Bird_Chronic[[#This Row],[SVm]],""),"")</f>
        <v/>
      </c>
      <c r="N142" s="370" t="str">
        <f>IFERROR(IF(ISNUMBER(INDEX(Active[B_NOAEL], 3)),
                          INDEX(Active[B_NOAEL], 3)/M142,""),"")</f>
        <v/>
      </c>
      <c r="O142" s="370" t="str">
        <f>IFERROR(IF(Active4=TRUE,HLOOKUP(Bird_Chronic[[#This Row],[Crop]],Input_Scenario,13,FALSE)*HLOOKUP(Bird_Chronic[[#This Row],[Crop]],Input_Scenario,8,FALSE)*Bird_Chronic[[#This Row],[SVm]],""),"")</f>
        <v/>
      </c>
      <c r="P142" s="370" t="str">
        <f>IFERROR(IF(ISNUMBER(INDEX(Active[B_NOAEL], 4)),
                          INDEX(Active[B_NOAEL], 4)/O142,""),"")</f>
        <v/>
      </c>
      <c r="Q142" s="370" t="str">
        <f>IFERROR(IF(Active5=TRUE,HLOOKUP(Bird_Chronic[[#This Row],[Crop]],Input_Scenario,14,FALSE)*HLOOKUP(Bird_Chronic[[#This Row],[Crop]],Input_Scenario,8,FALSE)*Bird_Chronic[[#This Row],[SVm]],""),"")</f>
        <v/>
      </c>
      <c r="R142" s="370" t="str">
        <f>IFERROR(IF(ISNUMBER(INDEX(Active[B_NOAEL], 5)),
                          INDEX(Active[B_NOAEL], 5)/Q142,""),"")</f>
        <v/>
      </c>
      <c r="S142" s="204"/>
      <c r="T142" s="56"/>
      <c r="U142" s="56"/>
      <c r="V142" s="56"/>
      <c r="W142" s="56"/>
      <c r="X142" s="56"/>
      <c r="Y142" s="56"/>
      <c r="Z142" s="56"/>
      <c r="AA142" s="56"/>
      <c r="AB142" s="56"/>
      <c r="AC142" s="56"/>
      <c r="AD142" s="56"/>
      <c r="AE142" s="56"/>
      <c r="AF142" s="56"/>
      <c r="AG142" s="56"/>
      <c r="AH142" s="56"/>
    </row>
    <row r="143" spans="1:34" s="106" customFormat="1" ht="16.5" customHeight="1">
      <c r="A143" s="56"/>
      <c r="B143" s="314" t="str">
        <f t="shared" ca="1" si="3"/>
        <v>No input</v>
      </c>
      <c r="C143" s="72" t="s">
        <v>229</v>
      </c>
      <c r="D143" s="73" t="s">
        <v>108</v>
      </c>
      <c r="E143" s="73" t="s">
        <v>211</v>
      </c>
      <c r="F143" s="113">
        <v>5.9</v>
      </c>
      <c r="G143" s="203" t="str">
        <f ca="1">IF(AND(Bird_Chronic[[#This Row],[Relevance]]="Input provided", Count&gt;=1),
       IF(B_ChronicScheme="C(mix)",
                 HLOOKUP(Bird_Chronic[[#This Row],[Crop]], Input_Scenario,10,FALSE)*Bird_Chronic[[#This Row],[SVm]]*HLOOKUP(Bird_Chronic[[#This Row],[Crop]],Input_Scenario,8,FALSE),""),"")</f>
        <v/>
      </c>
      <c r="H143" s="368" t="str">
        <f>IF(Count&gt;=1,
       IF(AND(B_ChronicScheme ="C(mix)", ISNUMBER(G143)), (B_NOAEL_form/G143),
       IF(AND(B_ChronicScheme = "HIsum", Count &gt; 1),
            IF(ISNUMBER(J143), IF(ISNUMBER(J143), 5/J143, 0) + IF(ISNUMBER(L143), 5/L143, 0) + IF(ISNUMBER(N143), 5/N143, 0) + IF(ISNUMBER(P143), 5/P143, 0) + IF(ISNUMBER(R143), 5/R143, 0),""), "")),"")</f>
        <v/>
      </c>
      <c r="I143" s="370" t="str">
        <f>IFERROR(IF(Active1=TRUE,HLOOKUP(Bird_Chronic[[#This Row],[Crop]],Input_Scenario,11,FALSE)*HLOOKUP(Bird_Chronic[[#This Row],[Crop]],Input_Scenario,8,FALSE)*Bird_Chronic[[#This Row],[SVm]],""),"")</f>
        <v/>
      </c>
      <c r="J143" s="370" t="str">
        <f>IFERROR(IF(ISNUMBER(INDEX(Active[B_NOAEL], 1)),
                          INDEX(Active[B_NOAEL], 1)/I143,""),"")</f>
        <v/>
      </c>
      <c r="K143" s="370" t="str">
        <f>IFERROR(IF(Active2=TRUE,HLOOKUP(Bird_Chronic[[#This Row],[Crop]],Input_Scenario,12,FALSE)*HLOOKUP(Bird_Chronic[[#This Row],[Crop]],Input_Scenario,8,FALSE)*Bird_Chronic[[#This Row],[SVm]],""),"")</f>
        <v/>
      </c>
      <c r="L143" s="370" t="str">
        <f>IFERROR(IF(ISNUMBER(INDEX(Active[B_NOAEL], 2)),
                          INDEX(Active[B_NOAEL], 2)/K143,""),"")</f>
        <v/>
      </c>
      <c r="M143" s="370" t="str">
        <f>IFERROR(IF(Active3=TRUE,HLOOKUP(Bird_Chronic[[#This Row],[Crop]],Input_Scenario,12,FALSE)*HLOOKUP(Bird_Chronic[[#This Row],[Crop]],Input_Scenario,8,FALSE)*Bird_Chronic[[#This Row],[SVm]],""),"")</f>
        <v/>
      </c>
      <c r="N143" s="370" t="str">
        <f>IFERROR(IF(ISNUMBER(INDEX(Active[B_NOAEL], 3)),
                          INDEX(Active[B_NOAEL], 3)/M143,""),"")</f>
        <v/>
      </c>
      <c r="O143" s="370" t="str">
        <f>IFERROR(IF(Active4=TRUE,HLOOKUP(Bird_Chronic[[#This Row],[Crop]],Input_Scenario,13,FALSE)*HLOOKUP(Bird_Chronic[[#This Row],[Crop]],Input_Scenario,8,FALSE)*Bird_Chronic[[#This Row],[SVm]],""),"")</f>
        <v/>
      </c>
      <c r="P143" s="370" t="str">
        <f>IFERROR(IF(ISNUMBER(INDEX(Active[B_NOAEL], 4)),
                          INDEX(Active[B_NOAEL], 4)/O143,""),"")</f>
        <v/>
      </c>
      <c r="Q143" s="370" t="str">
        <f>IFERROR(IF(Active5=TRUE,HLOOKUP(Bird_Chronic[[#This Row],[Crop]],Input_Scenario,14,FALSE)*HLOOKUP(Bird_Chronic[[#This Row],[Crop]],Input_Scenario,8,FALSE)*Bird_Chronic[[#This Row],[SVm]],""),"")</f>
        <v/>
      </c>
      <c r="R143" s="370" t="str">
        <f>IFERROR(IF(ISNUMBER(INDEX(Active[B_NOAEL], 5)),
                          INDEX(Active[B_NOAEL], 5)/Q143,""),"")</f>
        <v/>
      </c>
      <c r="S143" s="204"/>
      <c r="T143" s="56"/>
      <c r="U143" s="56"/>
      <c r="V143" s="56"/>
      <c r="W143" s="56"/>
      <c r="X143" s="56"/>
      <c r="Y143" s="56"/>
      <c r="Z143" s="56"/>
      <c r="AA143" s="56"/>
      <c r="AB143" s="56"/>
      <c r="AC143" s="56"/>
      <c r="AD143" s="56"/>
      <c r="AE143" s="56"/>
      <c r="AF143" s="56"/>
      <c r="AG143" s="56"/>
      <c r="AH143" s="56"/>
    </row>
    <row r="144" spans="1:34" s="106" customFormat="1" ht="16.5" customHeight="1">
      <c r="A144" s="56"/>
      <c r="B144" s="314" t="str">
        <f t="shared" ca="1" si="3"/>
        <v>No input</v>
      </c>
      <c r="C144" s="72" t="s">
        <v>229</v>
      </c>
      <c r="D144" s="73" t="s">
        <v>184</v>
      </c>
      <c r="E144" s="73" t="s">
        <v>210</v>
      </c>
      <c r="F144" s="113">
        <v>10.9</v>
      </c>
      <c r="G144" s="203" t="str">
        <f ca="1">IF(AND(Bird_Chronic[[#This Row],[Relevance]]="Input provided", Count&gt;=1),
       IF(B_ChronicScheme="C(mix)",
                 HLOOKUP(Bird_Chronic[[#This Row],[Crop]], Input_Scenario,10,FALSE)*Bird_Chronic[[#This Row],[SVm]]*HLOOKUP(Bird_Chronic[[#This Row],[Crop]],Input_Scenario,8,FALSE),""),"")</f>
        <v/>
      </c>
      <c r="H144" s="368" t="str">
        <f>IF(Count&gt;=1,
       IF(AND(B_ChronicScheme ="C(mix)", ISNUMBER(G144)), (B_NOAEL_form/G144),
       IF(AND(B_ChronicScheme = "HIsum", Count &gt; 1),
            IF(ISNUMBER(J144), IF(ISNUMBER(J144), 5/J144, 0) + IF(ISNUMBER(L144), 5/L144, 0) + IF(ISNUMBER(N144), 5/N144, 0) + IF(ISNUMBER(P144), 5/P144, 0) + IF(ISNUMBER(R144), 5/R144, 0),""), "")),"")</f>
        <v/>
      </c>
      <c r="I144" s="370" t="str">
        <f>IFERROR(IF(Active1=TRUE,HLOOKUP(Bird_Chronic[[#This Row],[Crop]],Input_Scenario,11,FALSE)*HLOOKUP(Bird_Chronic[[#This Row],[Crop]],Input_Scenario,8,FALSE)*Bird_Chronic[[#This Row],[SVm]],""),"")</f>
        <v/>
      </c>
      <c r="J144" s="370" t="str">
        <f>IFERROR(IF(ISNUMBER(INDEX(Active[B_NOAEL], 1)),
                          INDEX(Active[B_NOAEL], 1)/I144,""),"")</f>
        <v/>
      </c>
      <c r="K144" s="370" t="str">
        <f>IFERROR(IF(Active2=TRUE,HLOOKUP(Bird_Chronic[[#This Row],[Crop]],Input_Scenario,12,FALSE)*HLOOKUP(Bird_Chronic[[#This Row],[Crop]],Input_Scenario,8,FALSE)*Bird_Chronic[[#This Row],[SVm]],""),"")</f>
        <v/>
      </c>
      <c r="L144" s="370" t="str">
        <f>IFERROR(IF(ISNUMBER(INDEX(Active[B_NOAEL], 2)),
                          INDEX(Active[B_NOAEL], 2)/K144,""),"")</f>
        <v/>
      </c>
      <c r="M144" s="370" t="str">
        <f>IFERROR(IF(Active3=TRUE,HLOOKUP(Bird_Chronic[[#This Row],[Crop]],Input_Scenario,12,FALSE)*HLOOKUP(Bird_Chronic[[#This Row],[Crop]],Input_Scenario,8,FALSE)*Bird_Chronic[[#This Row],[SVm]],""),"")</f>
        <v/>
      </c>
      <c r="N144" s="370" t="str">
        <f>IFERROR(IF(ISNUMBER(INDEX(Active[B_NOAEL], 3)),
                          INDEX(Active[B_NOAEL], 3)/M144,""),"")</f>
        <v/>
      </c>
      <c r="O144" s="370" t="str">
        <f>IFERROR(IF(Active4=TRUE,HLOOKUP(Bird_Chronic[[#This Row],[Crop]],Input_Scenario,13,FALSE)*HLOOKUP(Bird_Chronic[[#This Row],[Crop]],Input_Scenario,8,FALSE)*Bird_Chronic[[#This Row],[SVm]],""),"")</f>
        <v/>
      </c>
      <c r="P144" s="370" t="str">
        <f>IFERROR(IF(ISNUMBER(INDEX(Active[B_NOAEL], 4)),
                          INDEX(Active[B_NOAEL], 4)/O144,""),"")</f>
        <v/>
      </c>
      <c r="Q144" s="370" t="str">
        <f>IFERROR(IF(Active5=TRUE,HLOOKUP(Bird_Chronic[[#This Row],[Crop]],Input_Scenario,14,FALSE)*HLOOKUP(Bird_Chronic[[#This Row],[Crop]],Input_Scenario,8,FALSE)*Bird_Chronic[[#This Row],[SVm]],""),"")</f>
        <v/>
      </c>
      <c r="R144" s="370" t="str">
        <f>IFERROR(IF(ISNUMBER(INDEX(Active[B_NOAEL], 5)),
                          INDEX(Active[B_NOAEL], 5)/Q144,""),"")</f>
        <v/>
      </c>
      <c r="S144" s="204"/>
      <c r="T144" s="56"/>
      <c r="U144" s="56"/>
      <c r="V144" s="56"/>
      <c r="W144" s="56"/>
      <c r="X144" s="56"/>
      <c r="Y144" s="56"/>
      <c r="Z144" s="56"/>
      <c r="AA144" s="56"/>
      <c r="AB144" s="56"/>
      <c r="AC144" s="56"/>
      <c r="AD144" s="56"/>
      <c r="AE144" s="56"/>
      <c r="AF144" s="56"/>
      <c r="AG144" s="56"/>
      <c r="AH144" s="56"/>
    </row>
    <row r="145" spans="1:34" s="106" customFormat="1" ht="16.5" customHeight="1">
      <c r="A145" s="56"/>
      <c r="B145" s="314" t="str">
        <f t="shared" ca="1" si="3"/>
        <v>No input</v>
      </c>
      <c r="C145" s="72" t="s">
        <v>229</v>
      </c>
      <c r="D145" s="73" t="s">
        <v>185</v>
      </c>
      <c r="E145" s="73" t="s">
        <v>211</v>
      </c>
      <c r="F145" s="113">
        <v>2.8</v>
      </c>
      <c r="G145" s="203" t="str">
        <f ca="1">IF(AND(Bird_Chronic[[#This Row],[Relevance]]="Input provided", Count&gt;=1),
       IF(B_ChronicScheme="C(mix)",
                 HLOOKUP(Bird_Chronic[[#This Row],[Crop]], Input_Scenario,10,FALSE)*Bird_Chronic[[#This Row],[SVm]]*HLOOKUP(Bird_Chronic[[#This Row],[Crop]],Input_Scenario,8,FALSE),""),"")</f>
        <v/>
      </c>
      <c r="H145" s="368" t="str">
        <f>IF(Count&gt;=1,
       IF(AND(B_ChronicScheme ="C(mix)", ISNUMBER(G145)), (B_NOAEL_form/G145),
       IF(AND(B_ChronicScheme = "HIsum", Count &gt; 1),
            IF(ISNUMBER(J145), IF(ISNUMBER(J145), 5/J145, 0) + IF(ISNUMBER(L145), 5/L145, 0) + IF(ISNUMBER(N145), 5/N145, 0) + IF(ISNUMBER(P145), 5/P145, 0) + IF(ISNUMBER(R145), 5/R145, 0),""), "")),"")</f>
        <v/>
      </c>
      <c r="I145" s="370" t="str">
        <f>IFERROR(IF(Active1=TRUE,HLOOKUP(Bird_Chronic[[#This Row],[Crop]],Input_Scenario,11,FALSE)*HLOOKUP(Bird_Chronic[[#This Row],[Crop]],Input_Scenario,8,FALSE)*Bird_Chronic[[#This Row],[SVm]],""),"")</f>
        <v/>
      </c>
      <c r="J145" s="370" t="str">
        <f>IFERROR(IF(ISNUMBER(INDEX(Active[B_NOAEL], 1)),
                          INDEX(Active[B_NOAEL], 1)/I145,""),"")</f>
        <v/>
      </c>
      <c r="K145" s="370" t="str">
        <f>IFERROR(IF(Active2=TRUE,HLOOKUP(Bird_Chronic[[#This Row],[Crop]],Input_Scenario,12,FALSE)*HLOOKUP(Bird_Chronic[[#This Row],[Crop]],Input_Scenario,8,FALSE)*Bird_Chronic[[#This Row],[SVm]],""),"")</f>
        <v/>
      </c>
      <c r="L145" s="370" t="str">
        <f>IFERROR(IF(ISNUMBER(INDEX(Active[B_NOAEL], 2)),
                          INDEX(Active[B_NOAEL], 2)/K145,""),"")</f>
        <v/>
      </c>
      <c r="M145" s="370" t="str">
        <f>IFERROR(IF(Active3=TRUE,HLOOKUP(Bird_Chronic[[#This Row],[Crop]],Input_Scenario,12,FALSE)*HLOOKUP(Bird_Chronic[[#This Row],[Crop]],Input_Scenario,8,FALSE)*Bird_Chronic[[#This Row],[SVm]],""),"")</f>
        <v/>
      </c>
      <c r="N145" s="370" t="str">
        <f>IFERROR(IF(ISNUMBER(INDEX(Active[B_NOAEL], 3)),
                          INDEX(Active[B_NOAEL], 3)/M145,""),"")</f>
        <v/>
      </c>
      <c r="O145" s="370" t="str">
        <f>IFERROR(IF(Active4=TRUE,HLOOKUP(Bird_Chronic[[#This Row],[Crop]],Input_Scenario,13,FALSE)*HLOOKUP(Bird_Chronic[[#This Row],[Crop]],Input_Scenario,8,FALSE)*Bird_Chronic[[#This Row],[SVm]],""),"")</f>
        <v/>
      </c>
      <c r="P145" s="370" t="str">
        <f>IFERROR(IF(ISNUMBER(INDEX(Active[B_NOAEL], 4)),
                          INDEX(Active[B_NOAEL], 4)/O145,""),"")</f>
        <v/>
      </c>
      <c r="Q145" s="370" t="str">
        <f>IFERROR(IF(Active5=TRUE,HLOOKUP(Bird_Chronic[[#This Row],[Crop]],Input_Scenario,14,FALSE)*HLOOKUP(Bird_Chronic[[#This Row],[Crop]],Input_Scenario,8,FALSE)*Bird_Chronic[[#This Row],[SVm]],""),"")</f>
        <v/>
      </c>
      <c r="R145" s="370" t="str">
        <f>IFERROR(IF(ISNUMBER(INDEX(Active[B_NOAEL], 5)),
                          INDEX(Active[B_NOAEL], 5)/Q145,""),"")</f>
        <v/>
      </c>
      <c r="S145" s="204"/>
      <c r="T145" s="56"/>
      <c r="U145" s="56"/>
      <c r="V145" s="56"/>
      <c r="W145" s="56"/>
      <c r="X145" s="56"/>
      <c r="Y145" s="56"/>
      <c r="Z145" s="56"/>
      <c r="AA145" s="56"/>
      <c r="AB145" s="56"/>
      <c r="AC145" s="56"/>
      <c r="AD145" s="56"/>
      <c r="AE145" s="56"/>
      <c r="AF145" s="56"/>
      <c r="AG145" s="56"/>
      <c r="AH145" s="56"/>
    </row>
    <row r="146" spans="1:34" s="106" customFormat="1" ht="16.5" customHeight="1">
      <c r="A146" s="56"/>
      <c r="B146" s="314" t="str">
        <f t="shared" ca="1" si="3"/>
        <v>No input</v>
      </c>
      <c r="C146" s="72" t="s">
        <v>229</v>
      </c>
      <c r="D146" s="73" t="s">
        <v>185</v>
      </c>
      <c r="E146" s="73" t="s">
        <v>211</v>
      </c>
      <c r="F146" s="113">
        <v>9.6999999999999993</v>
      </c>
      <c r="G146" s="203" t="str">
        <f ca="1">IF(AND(Bird_Chronic[[#This Row],[Relevance]]="Input provided", Count&gt;=1),
       IF(B_ChronicScheme="C(mix)",
                 HLOOKUP(Bird_Chronic[[#This Row],[Crop]], Input_Scenario,10,FALSE)*Bird_Chronic[[#This Row],[SVm]]*HLOOKUP(Bird_Chronic[[#This Row],[Crop]],Input_Scenario,8,FALSE),""),"")</f>
        <v/>
      </c>
      <c r="H146" s="368" t="str">
        <f>IF(Count&gt;=1,
       IF(AND(B_ChronicScheme ="C(mix)", ISNUMBER(G146)), (B_NOAEL_form/G146),
       IF(AND(B_ChronicScheme = "HIsum", Count &gt; 1),
            IF(ISNUMBER(J146), IF(ISNUMBER(J146), 5/J146, 0) + IF(ISNUMBER(L146), 5/L146, 0) + IF(ISNUMBER(N146), 5/N146, 0) + IF(ISNUMBER(P146), 5/P146, 0) + IF(ISNUMBER(R146), 5/R146, 0),""), "")),"")</f>
        <v/>
      </c>
      <c r="I146" s="370" t="str">
        <f>IFERROR(IF(Active1=TRUE,HLOOKUP(Bird_Chronic[[#This Row],[Crop]],Input_Scenario,11,FALSE)*HLOOKUP(Bird_Chronic[[#This Row],[Crop]],Input_Scenario,8,FALSE)*Bird_Chronic[[#This Row],[SVm]],""),"")</f>
        <v/>
      </c>
      <c r="J146" s="370" t="str">
        <f>IFERROR(IF(ISNUMBER(INDEX(Active[B_NOAEL], 1)),
                          INDEX(Active[B_NOAEL], 1)/I146,""),"")</f>
        <v/>
      </c>
      <c r="K146" s="370" t="str">
        <f>IFERROR(IF(Active2=TRUE,HLOOKUP(Bird_Chronic[[#This Row],[Crop]],Input_Scenario,12,FALSE)*HLOOKUP(Bird_Chronic[[#This Row],[Crop]],Input_Scenario,8,FALSE)*Bird_Chronic[[#This Row],[SVm]],""),"")</f>
        <v/>
      </c>
      <c r="L146" s="370" t="str">
        <f>IFERROR(IF(ISNUMBER(INDEX(Active[B_NOAEL], 2)),
                          INDEX(Active[B_NOAEL], 2)/K146,""),"")</f>
        <v/>
      </c>
      <c r="M146" s="370" t="str">
        <f>IFERROR(IF(Active3=TRUE,HLOOKUP(Bird_Chronic[[#This Row],[Crop]],Input_Scenario,12,FALSE)*HLOOKUP(Bird_Chronic[[#This Row],[Crop]],Input_Scenario,8,FALSE)*Bird_Chronic[[#This Row],[SVm]],""),"")</f>
        <v/>
      </c>
      <c r="N146" s="370" t="str">
        <f>IFERROR(IF(ISNUMBER(INDEX(Active[B_NOAEL], 3)),
                          INDEX(Active[B_NOAEL], 3)/M146,""),"")</f>
        <v/>
      </c>
      <c r="O146" s="370" t="str">
        <f>IFERROR(IF(Active4=TRUE,HLOOKUP(Bird_Chronic[[#This Row],[Crop]],Input_Scenario,13,FALSE)*HLOOKUP(Bird_Chronic[[#This Row],[Crop]],Input_Scenario,8,FALSE)*Bird_Chronic[[#This Row],[SVm]],""),"")</f>
        <v/>
      </c>
      <c r="P146" s="370" t="str">
        <f>IFERROR(IF(ISNUMBER(INDEX(Active[B_NOAEL], 4)),
                          INDEX(Active[B_NOAEL], 4)/O146,""),"")</f>
        <v/>
      </c>
      <c r="Q146" s="370" t="str">
        <f>IFERROR(IF(Active5=TRUE,HLOOKUP(Bird_Chronic[[#This Row],[Crop]],Input_Scenario,14,FALSE)*HLOOKUP(Bird_Chronic[[#This Row],[Crop]],Input_Scenario,8,FALSE)*Bird_Chronic[[#This Row],[SVm]],""),"")</f>
        <v/>
      </c>
      <c r="R146" s="370" t="str">
        <f>IFERROR(IF(ISNUMBER(INDEX(Active[B_NOAEL], 5)),
                          INDEX(Active[B_NOAEL], 5)/Q146,""),"")</f>
        <v/>
      </c>
      <c r="S146" s="204"/>
      <c r="T146" s="56"/>
      <c r="U146" s="56"/>
      <c r="V146" s="56"/>
      <c r="W146" s="56"/>
      <c r="X146" s="56"/>
      <c r="Y146" s="56"/>
      <c r="Z146" s="56"/>
      <c r="AA146" s="56"/>
      <c r="AB146" s="56"/>
      <c r="AC146" s="56"/>
      <c r="AD146" s="56"/>
      <c r="AE146" s="56"/>
      <c r="AF146" s="56"/>
      <c r="AG146" s="56"/>
      <c r="AH146" s="56"/>
    </row>
    <row r="147" spans="1:34" s="106" customFormat="1" ht="16.5" customHeight="1">
      <c r="A147" s="56"/>
      <c r="B147" s="314" t="str">
        <f t="shared" ca="1" si="3"/>
        <v>No input</v>
      </c>
      <c r="C147" s="72" t="s">
        <v>229</v>
      </c>
      <c r="D147" s="73" t="s">
        <v>186</v>
      </c>
      <c r="E147" s="73" t="s">
        <v>209</v>
      </c>
      <c r="F147" s="113">
        <v>11.4</v>
      </c>
      <c r="G147" s="203" t="str">
        <f ca="1">IF(AND(Bird_Chronic[[#This Row],[Relevance]]="Input provided", Count&gt;=1),
       IF(B_ChronicScheme="C(mix)",
                 HLOOKUP(Bird_Chronic[[#This Row],[Crop]], Input_Scenario,10,FALSE)*Bird_Chronic[[#This Row],[SVm]]*HLOOKUP(Bird_Chronic[[#This Row],[Crop]],Input_Scenario,8,FALSE),""),"")</f>
        <v/>
      </c>
      <c r="H147" s="368" t="str">
        <f>IF(Count&gt;=1,
       IF(AND(B_ChronicScheme ="C(mix)", ISNUMBER(G147)), (B_NOAEL_form/G147),
       IF(AND(B_ChronicScheme = "HIsum", Count &gt; 1),
            IF(ISNUMBER(J147), IF(ISNUMBER(J147), 5/J147, 0) + IF(ISNUMBER(L147), 5/L147, 0) + IF(ISNUMBER(N147), 5/N147, 0) + IF(ISNUMBER(P147), 5/P147, 0) + IF(ISNUMBER(R147), 5/R147, 0),""), "")),"")</f>
        <v/>
      </c>
      <c r="I147" s="370" t="str">
        <f>IFERROR(IF(Active1=TRUE,HLOOKUP(Bird_Chronic[[#This Row],[Crop]],Input_Scenario,11,FALSE)*HLOOKUP(Bird_Chronic[[#This Row],[Crop]],Input_Scenario,8,FALSE)*Bird_Chronic[[#This Row],[SVm]],""),"")</f>
        <v/>
      </c>
      <c r="J147" s="370" t="str">
        <f>IFERROR(IF(ISNUMBER(INDEX(Active[B_NOAEL], 1)),
                          INDEX(Active[B_NOAEL], 1)/I147,""),"")</f>
        <v/>
      </c>
      <c r="K147" s="370" t="str">
        <f>IFERROR(IF(Active2=TRUE,HLOOKUP(Bird_Chronic[[#This Row],[Crop]],Input_Scenario,12,FALSE)*HLOOKUP(Bird_Chronic[[#This Row],[Crop]],Input_Scenario,8,FALSE)*Bird_Chronic[[#This Row],[SVm]],""),"")</f>
        <v/>
      </c>
      <c r="L147" s="370" t="str">
        <f>IFERROR(IF(ISNUMBER(INDEX(Active[B_NOAEL], 2)),
                          INDEX(Active[B_NOAEL], 2)/K147,""),"")</f>
        <v/>
      </c>
      <c r="M147" s="370" t="str">
        <f>IFERROR(IF(Active3=TRUE,HLOOKUP(Bird_Chronic[[#This Row],[Crop]],Input_Scenario,12,FALSE)*HLOOKUP(Bird_Chronic[[#This Row],[Crop]],Input_Scenario,8,FALSE)*Bird_Chronic[[#This Row],[SVm]],""),"")</f>
        <v/>
      </c>
      <c r="N147" s="370" t="str">
        <f>IFERROR(IF(ISNUMBER(INDEX(Active[B_NOAEL], 3)),
                          INDEX(Active[B_NOAEL], 3)/M147,""),"")</f>
        <v/>
      </c>
      <c r="O147" s="370" t="str">
        <f>IFERROR(IF(Active4=TRUE,HLOOKUP(Bird_Chronic[[#This Row],[Crop]],Input_Scenario,13,FALSE)*HLOOKUP(Bird_Chronic[[#This Row],[Crop]],Input_Scenario,8,FALSE)*Bird_Chronic[[#This Row],[SVm]],""),"")</f>
        <v/>
      </c>
      <c r="P147" s="370" t="str">
        <f>IFERROR(IF(ISNUMBER(INDEX(Active[B_NOAEL], 4)),
                          INDEX(Active[B_NOAEL], 4)/O147,""),"")</f>
        <v/>
      </c>
      <c r="Q147" s="370" t="str">
        <f>IFERROR(IF(Active5=TRUE,HLOOKUP(Bird_Chronic[[#This Row],[Crop]],Input_Scenario,14,FALSE)*HLOOKUP(Bird_Chronic[[#This Row],[Crop]],Input_Scenario,8,FALSE)*Bird_Chronic[[#This Row],[SVm]],""),"")</f>
        <v/>
      </c>
      <c r="R147" s="370" t="str">
        <f>IFERROR(IF(ISNUMBER(INDEX(Active[B_NOAEL], 5)),
                          INDEX(Active[B_NOAEL], 5)/Q147,""),"")</f>
        <v/>
      </c>
      <c r="S147" s="204"/>
      <c r="T147" s="56"/>
      <c r="U147" s="56"/>
      <c r="V147" s="56"/>
      <c r="W147" s="56"/>
      <c r="X147" s="56"/>
      <c r="Y147" s="56"/>
      <c r="Z147" s="56"/>
      <c r="AA147" s="56"/>
      <c r="AB147" s="56"/>
      <c r="AC147" s="56"/>
      <c r="AD147" s="56"/>
      <c r="AE147" s="56"/>
      <c r="AF147" s="56"/>
      <c r="AG147" s="56"/>
      <c r="AH147" s="56"/>
    </row>
    <row r="148" spans="1:34" s="106" customFormat="1" ht="16.5" customHeight="1">
      <c r="A148" s="56"/>
      <c r="B148" s="314" t="str">
        <f t="shared" ca="1" si="3"/>
        <v>No input</v>
      </c>
      <c r="C148" s="72" t="s">
        <v>187</v>
      </c>
      <c r="D148" s="73" t="s">
        <v>188</v>
      </c>
      <c r="E148" s="73" t="s">
        <v>210</v>
      </c>
      <c r="F148" s="113">
        <v>10.9</v>
      </c>
      <c r="G148" s="203" t="str">
        <f ca="1">IF(AND(Bird_Chronic[[#This Row],[Relevance]]="Input provided", Count&gt;=1),
       IF(B_ChronicScheme="C(mix)",
                 HLOOKUP(Bird_Chronic[[#This Row],[Crop]], Input_Scenario,10,FALSE)*Bird_Chronic[[#This Row],[SVm]]*HLOOKUP(Bird_Chronic[[#This Row],[Crop]],Input_Scenario,8,FALSE),""),"")</f>
        <v/>
      </c>
      <c r="H148" s="368" t="str">
        <f>IF(Count&gt;=1,
       IF(AND(B_ChronicScheme ="C(mix)", ISNUMBER(G148)), (B_NOAEL_form/G148),
       IF(AND(B_ChronicScheme = "HIsum", Count &gt; 1),
            IF(ISNUMBER(J148), IF(ISNUMBER(J148), 5/J148, 0) + IF(ISNUMBER(L148), 5/L148, 0) + IF(ISNUMBER(N148), 5/N148, 0) + IF(ISNUMBER(P148), 5/P148, 0) + IF(ISNUMBER(R148), 5/R148, 0),""), "")),"")</f>
        <v/>
      </c>
      <c r="I148" s="370" t="str">
        <f>IFERROR(IF(Active1=TRUE,HLOOKUP(Bird_Chronic[[#This Row],[Crop]],Input_Scenario,11,FALSE)*HLOOKUP(Bird_Chronic[[#This Row],[Crop]],Input_Scenario,8,FALSE)*Bird_Chronic[[#This Row],[SVm]],""),"")</f>
        <v/>
      </c>
      <c r="J148" s="370" t="str">
        <f>IFERROR(IF(ISNUMBER(INDEX(Active[B_NOAEL], 1)),
                          INDEX(Active[B_NOAEL], 1)/I148,""),"")</f>
        <v/>
      </c>
      <c r="K148" s="370" t="str">
        <f>IFERROR(IF(Active2=TRUE,HLOOKUP(Bird_Chronic[[#This Row],[Crop]],Input_Scenario,12,FALSE)*HLOOKUP(Bird_Chronic[[#This Row],[Crop]],Input_Scenario,8,FALSE)*Bird_Chronic[[#This Row],[SVm]],""),"")</f>
        <v/>
      </c>
      <c r="L148" s="370" t="str">
        <f>IFERROR(IF(ISNUMBER(INDEX(Active[B_NOAEL], 2)),
                          INDEX(Active[B_NOAEL], 2)/K148,""),"")</f>
        <v/>
      </c>
      <c r="M148" s="370" t="str">
        <f>IFERROR(IF(Active3=TRUE,HLOOKUP(Bird_Chronic[[#This Row],[Crop]],Input_Scenario,12,FALSE)*HLOOKUP(Bird_Chronic[[#This Row],[Crop]],Input_Scenario,8,FALSE)*Bird_Chronic[[#This Row],[SVm]],""),"")</f>
        <v/>
      </c>
      <c r="N148" s="370" t="str">
        <f>IFERROR(IF(ISNUMBER(INDEX(Active[B_NOAEL], 3)),
                          INDEX(Active[B_NOAEL], 3)/M148,""),"")</f>
        <v/>
      </c>
      <c r="O148" s="370" t="str">
        <f>IFERROR(IF(Active4=TRUE,HLOOKUP(Bird_Chronic[[#This Row],[Crop]],Input_Scenario,13,FALSE)*HLOOKUP(Bird_Chronic[[#This Row],[Crop]],Input_Scenario,8,FALSE)*Bird_Chronic[[#This Row],[SVm]],""),"")</f>
        <v/>
      </c>
      <c r="P148" s="370" t="str">
        <f>IFERROR(IF(ISNUMBER(INDEX(Active[B_NOAEL], 4)),
                          INDEX(Active[B_NOAEL], 4)/O148,""),"")</f>
        <v/>
      </c>
      <c r="Q148" s="370" t="str">
        <f>IFERROR(IF(Active5=TRUE,HLOOKUP(Bird_Chronic[[#This Row],[Crop]],Input_Scenario,14,FALSE)*HLOOKUP(Bird_Chronic[[#This Row],[Crop]],Input_Scenario,8,FALSE)*Bird_Chronic[[#This Row],[SVm]],""),"")</f>
        <v/>
      </c>
      <c r="R148" s="370" t="str">
        <f>IFERROR(IF(ISNUMBER(INDEX(Active[B_NOAEL], 5)),
                          INDEX(Active[B_NOAEL], 5)/Q148,""),"")</f>
        <v/>
      </c>
      <c r="S148" s="204"/>
      <c r="T148" s="56"/>
      <c r="U148" s="56"/>
      <c r="V148" s="56"/>
      <c r="W148" s="56"/>
      <c r="X148" s="56"/>
      <c r="Y148" s="56"/>
      <c r="Z148" s="56"/>
      <c r="AA148" s="56"/>
      <c r="AB148" s="56"/>
      <c r="AC148" s="56"/>
      <c r="AD148" s="56"/>
      <c r="AE148" s="56"/>
      <c r="AF148" s="56"/>
      <c r="AG148" s="56"/>
      <c r="AH148" s="56"/>
    </row>
    <row r="149" spans="1:34" s="106" customFormat="1" ht="16.5" customHeight="1">
      <c r="A149" s="56"/>
      <c r="B149" s="314" t="str">
        <f t="shared" ca="1" si="3"/>
        <v>No input</v>
      </c>
      <c r="C149" s="72" t="s">
        <v>187</v>
      </c>
      <c r="D149" s="73" t="s">
        <v>188</v>
      </c>
      <c r="E149" s="73" t="s">
        <v>211</v>
      </c>
      <c r="F149" s="113">
        <v>11.3</v>
      </c>
      <c r="G149" s="203" t="str">
        <f ca="1">IF(AND(Bird_Chronic[[#This Row],[Relevance]]="Input provided", Count&gt;=1),
       IF(B_ChronicScheme="C(mix)",
                 HLOOKUP(Bird_Chronic[[#This Row],[Crop]], Input_Scenario,10,FALSE)*Bird_Chronic[[#This Row],[SVm]]*HLOOKUP(Bird_Chronic[[#This Row],[Crop]],Input_Scenario,8,FALSE),""),"")</f>
        <v/>
      </c>
      <c r="H149" s="368" t="str">
        <f>IF(Count&gt;=1,
       IF(AND(B_ChronicScheme ="C(mix)", ISNUMBER(G149)), (B_NOAEL_form/G149),
       IF(AND(B_ChronicScheme = "HIsum", Count &gt; 1),
            IF(ISNUMBER(J149), IF(ISNUMBER(J149), 5/J149, 0) + IF(ISNUMBER(L149), 5/L149, 0) + IF(ISNUMBER(N149), 5/N149, 0) + IF(ISNUMBER(P149), 5/P149, 0) + IF(ISNUMBER(R149), 5/R149, 0),""), "")),"")</f>
        <v/>
      </c>
      <c r="I149" s="370" t="str">
        <f>IFERROR(IF(Active1=TRUE,HLOOKUP(Bird_Chronic[[#This Row],[Crop]],Input_Scenario,11,FALSE)*HLOOKUP(Bird_Chronic[[#This Row],[Crop]],Input_Scenario,8,FALSE)*Bird_Chronic[[#This Row],[SVm]],""),"")</f>
        <v/>
      </c>
      <c r="J149" s="370" t="str">
        <f>IFERROR(IF(ISNUMBER(INDEX(Active[B_NOAEL], 1)),
                          INDEX(Active[B_NOAEL], 1)/I149,""),"")</f>
        <v/>
      </c>
      <c r="K149" s="370" t="str">
        <f>IFERROR(IF(Active2=TRUE,HLOOKUP(Bird_Chronic[[#This Row],[Crop]],Input_Scenario,12,FALSE)*HLOOKUP(Bird_Chronic[[#This Row],[Crop]],Input_Scenario,8,FALSE)*Bird_Chronic[[#This Row],[SVm]],""),"")</f>
        <v/>
      </c>
      <c r="L149" s="370" t="str">
        <f>IFERROR(IF(ISNUMBER(INDEX(Active[B_NOAEL], 2)),
                          INDEX(Active[B_NOAEL], 2)/K149,""),"")</f>
        <v/>
      </c>
      <c r="M149" s="370" t="str">
        <f>IFERROR(IF(Active3=TRUE,HLOOKUP(Bird_Chronic[[#This Row],[Crop]],Input_Scenario,12,FALSE)*HLOOKUP(Bird_Chronic[[#This Row],[Crop]],Input_Scenario,8,FALSE)*Bird_Chronic[[#This Row],[SVm]],""),"")</f>
        <v/>
      </c>
      <c r="N149" s="370" t="str">
        <f>IFERROR(IF(ISNUMBER(INDEX(Active[B_NOAEL], 3)),
                          INDEX(Active[B_NOAEL], 3)/M149,""),"")</f>
        <v/>
      </c>
      <c r="O149" s="370" t="str">
        <f>IFERROR(IF(Active4=TRUE,HLOOKUP(Bird_Chronic[[#This Row],[Crop]],Input_Scenario,13,FALSE)*HLOOKUP(Bird_Chronic[[#This Row],[Crop]],Input_Scenario,8,FALSE)*Bird_Chronic[[#This Row],[SVm]],""),"")</f>
        <v/>
      </c>
      <c r="P149" s="370" t="str">
        <f>IFERROR(IF(ISNUMBER(INDEX(Active[B_NOAEL], 4)),
                          INDEX(Active[B_NOAEL], 4)/O149,""),"")</f>
        <v/>
      </c>
      <c r="Q149" s="370" t="str">
        <f>IFERROR(IF(Active5=TRUE,HLOOKUP(Bird_Chronic[[#This Row],[Crop]],Input_Scenario,14,FALSE)*HLOOKUP(Bird_Chronic[[#This Row],[Crop]],Input_Scenario,8,FALSE)*Bird_Chronic[[#This Row],[SVm]],""),"")</f>
        <v/>
      </c>
      <c r="R149" s="370" t="str">
        <f>IFERROR(IF(ISNUMBER(INDEX(Active[B_NOAEL], 5)),
                          INDEX(Active[B_NOAEL], 5)/Q149,""),"")</f>
        <v/>
      </c>
      <c r="S149" s="204"/>
      <c r="T149" s="56"/>
      <c r="U149" s="56"/>
      <c r="V149" s="56"/>
      <c r="W149" s="56"/>
      <c r="X149" s="56"/>
      <c r="Y149" s="56"/>
      <c r="Z149" s="56"/>
      <c r="AA149" s="56"/>
      <c r="AB149" s="56"/>
      <c r="AC149" s="56"/>
      <c r="AD149" s="56"/>
      <c r="AE149" s="56"/>
      <c r="AF149" s="56"/>
      <c r="AG149" s="56"/>
      <c r="AH149" s="56"/>
    </row>
    <row r="150" spans="1:34" s="106" customFormat="1" ht="16.5" customHeight="1">
      <c r="A150" s="56"/>
      <c r="B150" s="314" t="str">
        <f t="shared" ca="1" si="3"/>
        <v>No input</v>
      </c>
      <c r="C150" s="72" t="s">
        <v>187</v>
      </c>
      <c r="D150" s="73" t="s">
        <v>189</v>
      </c>
      <c r="E150" s="73" t="s">
        <v>230</v>
      </c>
      <c r="F150" s="113">
        <v>10</v>
      </c>
      <c r="G150" s="203" t="str">
        <f ca="1">IF(AND(Bird_Chronic[[#This Row],[Relevance]]="Input provided", Count&gt;=1),
       IF(B_ChronicScheme="C(mix)",
                 HLOOKUP(Bird_Chronic[[#This Row],[Crop]], Input_Scenario,10,FALSE)*Bird_Chronic[[#This Row],[SVm]]*HLOOKUP(Bird_Chronic[[#This Row],[Crop]],Input_Scenario,8,FALSE),""),"")</f>
        <v/>
      </c>
      <c r="H150" s="368" t="str">
        <f>IF(Count&gt;=1,
       IF(AND(B_ChronicScheme ="C(mix)", ISNUMBER(G150)), (B_NOAEL_form/G150),
       IF(AND(B_ChronicScheme = "HIsum", Count &gt; 1),
            IF(ISNUMBER(J150), IF(ISNUMBER(J150), 5/J150, 0) + IF(ISNUMBER(L150), 5/L150, 0) + IF(ISNUMBER(N150), 5/N150, 0) + IF(ISNUMBER(P150), 5/P150, 0) + IF(ISNUMBER(R150), 5/R150, 0),""), "")),"")</f>
        <v/>
      </c>
      <c r="I150" s="370" t="str">
        <f>IFERROR(IF(Active1=TRUE,HLOOKUP(Bird_Chronic[[#This Row],[Crop]],Input_Scenario,11,FALSE)*HLOOKUP(Bird_Chronic[[#This Row],[Crop]],Input_Scenario,8,FALSE)*Bird_Chronic[[#This Row],[SVm]],""),"")</f>
        <v/>
      </c>
      <c r="J150" s="370" t="str">
        <f>IFERROR(IF(ISNUMBER(INDEX(Active[B_NOAEL], 1)),
                          INDEX(Active[B_NOAEL], 1)/I150,""),"")</f>
        <v/>
      </c>
      <c r="K150" s="370" t="str">
        <f>IFERROR(IF(Active2=TRUE,HLOOKUP(Bird_Chronic[[#This Row],[Crop]],Input_Scenario,12,FALSE)*HLOOKUP(Bird_Chronic[[#This Row],[Crop]],Input_Scenario,8,FALSE)*Bird_Chronic[[#This Row],[SVm]],""),"")</f>
        <v/>
      </c>
      <c r="L150" s="370" t="str">
        <f>IFERROR(IF(ISNUMBER(INDEX(Active[B_NOAEL], 2)),
                          INDEX(Active[B_NOAEL], 2)/K150,""),"")</f>
        <v/>
      </c>
      <c r="M150" s="370" t="str">
        <f>IFERROR(IF(Active3=TRUE,HLOOKUP(Bird_Chronic[[#This Row],[Crop]],Input_Scenario,12,FALSE)*HLOOKUP(Bird_Chronic[[#This Row],[Crop]],Input_Scenario,8,FALSE)*Bird_Chronic[[#This Row],[SVm]],""),"")</f>
        <v/>
      </c>
      <c r="N150" s="370" t="str">
        <f>IFERROR(IF(ISNUMBER(INDEX(Active[B_NOAEL], 3)),
                          INDEX(Active[B_NOAEL], 3)/M150,""),"")</f>
        <v/>
      </c>
      <c r="O150" s="370" t="str">
        <f>IFERROR(IF(Active4=TRUE,HLOOKUP(Bird_Chronic[[#This Row],[Crop]],Input_Scenario,13,FALSE)*HLOOKUP(Bird_Chronic[[#This Row],[Crop]],Input_Scenario,8,FALSE)*Bird_Chronic[[#This Row],[SVm]],""),"")</f>
        <v/>
      </c>
      <c r="P150" s="370" t="str">
        <f>IFERROR(IF(ISNUMBER(INDEX(Active[B_NOAEL], 4)),
                          INDEX(Active[B_NOAEL], 4)/O150,""),"")</f>
        <v/>
      </c>
      <c r="Q150" s="370" t="str">
        <f>IFERROR(IF(Active5=TRUE,HLOOKUP(Bird_Chronic[[#This Row],[Crop]],Input_Scenario,14,FALSE)*HLOOKUP(Bird_Chronic[[#This Row],[Crop]],Input_Scenario,8,FALSE)*Bird_Chronic[[#This Row],[SVm]],""),"")</f>
        <v/>
      </c>
      <c r="R150" s="370" t="str">
        <f>IFERROR(IF(ISNUMBER(INDEX(Active[B_NOAEL], 5)),
                          INDEX(Active[B_NOAEL], 5)/Q150,""),"")</f>
        <v/>
      </c>
      <c r="S150" s="204"/>
      <c r="T150" s="56"/>
      <c r="U150" s="56"/>
      <c r="V150" s="56"/>
      <c r="W150" s="56"/>
      <c r="X150" s="56"/>
      <c r="Y150" s="56"/>
      <c r="Z150" s="56"/>
      <c r="AA150" s="56"/>
      <c r="AB150" s="56"/>
      <c r="AC150" s="56"/>
      <c r="AD150" s="56"/>
      <c r="AE150" s="56"/>
      <c r="AF150" s="56"/>
      <c r="AG150" s="56"/>
      <c r="AH150" s="56"/>
    </row>
    <row r="151" spans="1:34" s="106" customFormat="1" ht="16.5" customHeight="1">
      <c r="A151" s="56"/>
      <c r="B151" s="314" t="str">
        <f t="shared" ca="1" si="3"/>
        <v>No input</v>
      </c>
      <c r="C151" s="72" t="s">
        <v>191</v>
      </c>
      <c r="D151" s="73" t="s">
        <v>108</v>
      </c>
      <c r="E151" s="73" t="s">
        <v>231</v>
      </c>
      <c r="F151" s="113">
        <v>11.5</v>
      </c>
      <c r="G151" s="203" t="str">
        <f ca="1">IF(AND(Bird_Chronic[[#This Row],[Relevance]]="Input provided", Count&gt;=1),
       IF(B_ChronicScheme="C(mix)",
                 HLOOKUP(Bird_Chronic[[#This Row],[Crop]], Input_Scenario,10,FALSE)*Bird_Chronic[[#This Row],[SVm]]*HLOOKUP(Bird_Chronic[[#This Row],[Crop]],Input_Scenario,8,FALSE),""),"")</f>
        <v/>
      </c>
      <c r="H151" s="368" t="str">
        <f>IF(Count&gt;=1,
       IF(AND(B_ChronicScheme ="C(mix)", ISNUMBER(G151)), (B_NOAEL_form/G151),
       IF(AND(B_ChronicScheme = "HIsum", Count &gt; 1),
            IF(ISNUMBER(J151), IF(ISNUMBER(J151), 5/J151, 0) + IF(ISNUMBER(L151), 5/L151, 0) + IF(ISNUMBER(N151), 5/N151, 0) + IF(ISNUMBER(P151), 5/P151, 0) + IF(ISNUMBER(R151), 5/R151, 0),""), "")),"")</f>
        <v/>
      </c>
      <c r="I151" s="370" t="str">
        <f>IFERROR(IF(Active1=TRUE,HLOOKUP(Bird_Chronic[[#This Row],[Crop]],Input_Scenario,11,FALSE)*HLOOKUP(Bird_Chronic[[#This Row],[Crop]],Input_Scenario,8,FALSE)*Bird_Chronic[[#This Row],[SVm]],""),"")</f>
        <v/>
      </c>
      <c r="J151" s="370" t="str">
        <f>IFERROR(IF(ISNUMBER(INDEX(Active[B_NOAEL], 1)),
                          INDEX(Active[B_NOAEL], 1)/I151,""),"")</f>
        <v/>
      </c>
      <c r="K151" s="370" t="str">
        <f>IFERROR(IF(Active2=TRUE,HLOOKUP(Bird_Chronic[[#This Row],[Crop]],Input_Scenario,12,FALSE)*HLOOKUP(Bird_Chronic[[#This Row],[Crop]],Input_Scenario,8,FALSE)*Bird_Chronic[[#This Row],[SVm]],""),"")</f>
        <v/>
      </c>
      <c r="L151" s="370" t="str">
        <f>IFERROR(IF(ISNUMBER(INDEX(Active[B_NOAEL], 2)),
                          INDEX(Active[B_NOAEL], 2)/K151,""),"")</f>
        <v/>
      </c>
      <c r="M151" s="370" t="str">
        <f>IFERROR(IF(Active3=TRUE,HLOOKUP(Bird_Chronic[[#This Row],[Crop]],Input_Scenario,12,FALSE)*HLOOKUP(Bird_Chronic[[#This Row],[Crop]],Input_Scenario,8,FALSE)*Bird_Chronic[[#This Row],[SVm]],""),"")</f>
        <v/>
      </c>
      <c r="N151" s="370" t="str">
        <f>IFERROR(IF(ISNUMBER(INDEX(Active[B_NOAEL], 3)),
                          INDEX(Active[B_NOAEL], 3)/M151,""),"")</f>
        <v/>
      </c>
      <c r="O151" s="370" t="str">
        <f>IFERROR(IF(Active4=TRUE,HLOOKUP(Bird_Chronic[[#This Row],[Crop]],Input_Scenario,13,FALSE)*HLOOKUP(Bird_Chronic[[#This Row],[Crop]],Input_Scenario,8,FALSE)*Bird_Chronic[[#This Row],[SVm]],""),"")</f>
        <v/>
      </c>
      <c r="P151" s="370" t="str">
        <f>IFERROR(IF(ISNUMBER(INDEX(Active[B_NOAEL], 4)),
                          INDEX(Active[B_NOAEL], 4)/O151,""),"")</f>
        <v/>
      </c>
      <c r="Q151" s="370" t="str">
        <f>IFERROR(IF(Active5=TRUE,HLOOKUP(Bird_Chronic[[#This Row],[Crop]],Input_Scenario,14,FALSE)*HLOOKUP(Bird_Chronic[[#This Row],[Crop]],Input_Scenario,8,FALSE)*Bird_Chronic[[#This Row],[SVm]],""),"")</f>
        <v/>
      </c>
      <c r="R151" s="370" t="str">
        <f>IFERROR(IF(ISNUMBER(INDEX(Active[B_NOAEL], 5)),
                          INDEX(Active[B_NOAEL], 5)/Q151,""),"")</f>
        <v/>
      </c>
      <c r="S151" s="204"/>
      <c r="T151" s="56"/>
      <c r="U151" s="56"/>
      <c r="V151" s="56"/>
      <c r="W151" s="56"/>
      <c r="X151" s="56"/>
      <c r="Y151" s="56"/>
      <c r="Z151" s="56"/>
      <c r="AA151" s="56"/>
      <c r="AB151" s="56"/>
      <c r="AC151" s="56"/>
      <c r="AD151" s="56"/>
      <c r="AE151" s="56"/>
      <c r="AF151" s="56"/>
      <c r="AG151" s="56"/>
      <c r="AH151" s="56"/>
    </row>
    <row r="152" spans="1:34" s="106" customFormat="1" ht="16.5" customHeight="1">
      <c r="A152" s="56"/>
      <c r="B152" s="314" t="str">
        <f t="shared" ca="1" si="3"/>
        <v>No input</v>
      </c>
      <c r="C152" s="72" t="s">
        <v>191</v>
      </c>
      <c r="D152" s="73" t="s">
        <v>108</v>
      </c>
      <c r="E152" s="73" t="s">
        <v>209</v>
      </c>
      <c r="F152" s="113">
        <v>6.9</v>
      </c>
      <c r="G152" s="203" t="str">
        <f ca="1">IF(AND(Bird_Chronic[[#This Row],[Relevance]]="Input provided", Count&gt;=1),
       IF(B_ChronicScheme="C(mix)",
                 HLOOKUP(Bird_Chronic[[#This Row],[Crop]], Input_Scenario,10,FALSE)*Bird_Chronic[[#This Row],[SVm]]*HLOOKUP(Bird_Chronic[[#This Row],[Crop]],Input_Scenario,8,FALSE),""),"")</f>
        <v/>
      </c>
      <c r="H152" s="368" t="str">
        <f>IF(Count&gt;=1,
       IF(AND(B_ChronicScheme ="C(mix)", ISNUMBER(G152)), (B_NOAEL_form/G152),
       IF(AND(B_ChronicScheme = "HIsum", Count &gt; 1),
            IF(ISNUMBER(J152), IF(ISNUMBER(J152), 5/J152, 0) + IF(ISNUMBER(L152), 5/L152, 0) + IF(ISNUMBER(N152), 5/N152, 0) + IF(ISNUMBER(P152), 5/P152, 0) + IF(ISNUMBER(R152), 5/R152, 0),""), "")),"")</f>
        <v/>
      </c>
      <c r="I152" s="370" t="str">
        <f>IFERROR(IF(Active1=TRUE,HLOOKUP(Bird_Chronic[[#This Row],[Crop]],Input_Scenario,11,FALSE)*HLOOKUP(Bird_Chronic[[#This Row],[Crop]],Input_Scenario,8,FALSE)*Bird_Chronic[[#This Row],[SVm]],""),"")</f>
        <v/>
      </c>
      <c r="J152" s="370" t="str">
        <f>IFERROR(IF(ISNUMBER(INDEX(Active[B_NOAEL], 1)),
                          INDEX(Active[B_NOAEL], 1)/I152,""),"")</f>
        <v/>
      </c>
      <c r="K152" s="370" t="str">
        <f>IFERROR(IF(Active2=TRUE,HLOOKUP(Bird_Chronic[[#This Row],[Crop]],Input_Scenario,12,FALSE)*HLOOKUP(Bird_Chronic[[#This Row],[Crop]],Input_Scenario,8,FALSE)*Bird_Chronic[[#This Row],[SVm]],""),"")</f>
        <v/>
      </c>
      <c r="L152" s="370" t="str">
        <f>IFERROR(IF(ISNUMBER(INDEX(Active[B_NOAEL], 2)),
                          INDEX(Active[B_NOAEL], 2)/K152,""),"")</f>
        <v/>
      </c>
      <c r="M152" s="370" t="str">
        <f>IFERROR(IF(Active3=TRUE,HLOOKUP(Bird_Chronic[[#This Row],[Crop]],Input_Scenario,12,FALSE)*HLOOKUP(Bird_Chronic[[#This Row],[Crop]],Input_Scenario,8,FALSE)*Bird_Chronic[[#This Row],[SVm]],""),"")</f>
        <v/>
      </c>
      <c r="N152" s="370" t="str">
        <f>IFERROR(IF(ISNUMBER(INDEX(Active[B_NOAEL], 3)),
                          INDEX(Active[B_NOAEL], 3)/M152,""),"")</f>
        <v/>
      </c>
      <c r="O152" s="370" t="str">
        <f>IFERROR(IF(Active4=TRUE,HLOOKUP(Bird_Chronic[[#This Row],[Crop]],Input_Scenario,13,FALSE)*HLOOKUP(Bird_Chronic[[#This Row],[Crop]],Input_Scenario,8,FALSE)*Bird_Chronic[[#This Row],[SVm]],""),"")</f>
        <v/>
      </c>
      <c r="P152" s="370" t="str">
        <f>IFERROR(IF(ISNUMBER(INDEX(Active[B_NOAEL], 4)),
                          INDEX(Active[B_NOAEL], 4)/O152,""),"")</f>
        <v/>
      </c>
      <c r="Q152" s="370" t="str">
        <f>IFERROR(IF(Active5=TRUE,HLOOKUP(Bird_Chronic[[#This Row],[Crop]],Input_Scenario,14,FALSE)*HLOOKUP(Bird_Chronic[[#This Row],[Crop]],Input_Scenario,8,FALSE)*Bird_Chronic[[#This Row],[SVm]],""),"")</f>
        <v/>
      </c>
      <c r="R152" s="370" t="str">
        <f>IFERROR(IF(ISNUMBER(INDEX(Active[B_NOAEL], 5)),
                          INDEX(Active[B_NOAEL], 5)/Q152,""),"")</f>
        <v/>
      </c>
      <c r="S152" s="204"/>
      <c r="T152" s="56"/>
      <c r="U152" s="56"/>
      <c r="V152" s="56"/>
      <c r="W152" s="56"/>
      <c r="X152" s="56"/>
      <c r="Y152" s="56"/>
      <c r="Z152" s="56"/>
      <c r="AA152" s="56"/>
      <c r="AB152" s="56"/>
      <c r="AC152" s="56"/>
      <c r="AD152" s="56"/>
      <c r="AE152" s="56"/>
      <c r="AF152" s="56"/>
      <c r="AG152" s="56"/>
      <c r="AH152" s="56"/>
    </row>
    <row r="153" spans="1:34" s="106" customFormat="1" ht="16.5" customHeight="1">
      <c r="A153" s="56"/>
      <c r="B153" s="314" t="str">
        <f t="shared" ca="1" si="3"/>
        <v>No input</v>
      </c>
      <c r="C153" s="72" t="s">
        <v>191</v>
      </c>
      <c r="D153" s="73" t="s">
        <v>108</v>
      </c>
      <c r="E153" s="73" t="s">
        <v>210</v>
      </c>
      <c r="F153" s="113">
        <v>6.5</v>
      </c>
      <c r="G153" s="203" t="str">
        <f ca="1">IF(AND(Bird_Chronic[[#This Row],[Relevance]]="Input provided", Count&gt;=1),
       IF(B_ChronicScheme="C(mix)",
                 HLOOKUP(Bird_Chronic[[#This Row],[Crop]], Input_Scenario,10,FALSE)*Bird_Chronic[[#This Row],[SVm]]*HLOOKUP(Bird_Chronic[[#This Row],[Crop]],Input_Scenario,8,FALSE),""),"")</f>
        <v/>
      </c>
      <c r="H153" s="368" t="str">
        <f>IF(Count&gt;=1,
       IF(AND(B_ChronicScheme ="C(mix)", ISNUMBER(G153)), (B_NOAEL_form/G153),
       IF(AND(B_ChronicScheme = "HIsum", Count &gt; 1),
            IF(ISNUMBER(J153), IF(ISNUMBER(J153), 5/J153, 0) + IF(ISNUMBER(L153), 5/L153, 0) + IF(ISNUMBER(N153), 5/N153, 0) + IF(ISNUMBER(P153), 5/P153, 0) + IF(ISNUMBER(R153), 5/R153, 0),""), "")),"")</f>
        <v/>
      </c>
      <c r="I153" s="370" t="str">
        <f>IFERROR(IF(Active1=TRUE,HLOOKUP(Bird_Chronic[[#This Row],[Crop]],Input_Scenario,11,FALSE)*HLOOKUP(Bird_Chronic[[#This Row],[Crop]],Input_Scenario,8,FALSE)*Bird_Chronic[[#This Row],[SVm]],""),"")</f>
        <v/>
      </c>
      <c r="J153" s="370" t="str">
        <f>IFERROR(IF(ISNUMBER(INDEX(Active[B_NOAEL], 1)),
                          INDEX(Active[B_NOAEL], 1)/I153,""),"")</f>
        <v/>
      </c>
      <c r="K153" s="370" t="str">
        <f>IFERROR(IF(Active2=TRUE,HLOOKUP(Bird_Chronic[[#This Row],[Crop]],Input_Scenario,12,FALSE)*HLOOKUP(Bird_Chronic[[#This Row],[Crop]],Input_Scenario,8,FALSE)*Bird_Chronic[[#This Row],[SVm]],""),"")</f>
        <v/>
      </c>
      <c r="L153" s="370" t="str">
        <f>IFERROR(IF(ISNUMBER(INDEX(Active[B_NOAEL], 2)),
                          INDEX(Active[B_NOAEL], 2)/K153,""),"")</f>
        <v/>
      </c>
      <c r="M153" s="370" t="str">
        <f>IFERROR(IF(Active3=TRUE,HLOOKUP(Bird_Chronic[[#This Row],[Crop]],Input_Scenario,12,FALSE)*HLOOKUP(Bird_Chronic[[#This Row],[Crop]],Input_Scenario,8,FALSE)*Bird_Chronic[[#This Row],[SVm]],""),"")</f>
        <v/>
      </c>
      <c r="N153" s="370" t="str">
        <f>IFERROR(IF(ISNUMBER(INDEX(Active[B_NOAEL], 3)),
                          INDEX(Active[B_NOAEL], 3)/M153,""),"")</f>
        <v/>
      </c>
      <c r="O153" s="370" t="str">
        <f>IFERROR(IF(Active4=TRUE,HLOOKUP(Bird_Chronic[[#This Row],[Crop]],Input_Scenario,13,FALSE)*HLOOKUP(Bird_Chronic[[#This Row],[Crop]],Input_Scenario,8,FALSE)*Bird_Chronic[[#This Row],[SVm]],""),"")</f>
        <v/>
      </c>
      <c r="P153" s="370" t="str">
        <f>IFERROR(IF(ISNUMBER(INDEX(Active[B_NOAEL], 4)),
                          INDEX(Active[B_NOAEL], 4)/O153,""),"")</f>
        <v/>
      </c>
      <c r="Q153" s="370" t="str">
        <f>IFERROR(IF(Active5=TRUE,HLOOKUP(Bird_Chronic[[#This Row],[Crop]],Input_Scenario,14,FALSE)*HLOOKUP(Bird_Chronic[[#This Row],[Crop]],Input_Scenario,8,FALSE)*Bird_Chronic[[#This Row],[SVm]],""),"")</f>
        <v/>
      </c>
      <c r="R153" s="370" t="str">
        <f>IFERROR(IF(ISNUMBER(INDEX(Active[B_NOAEL], 5)),
                          INDEX(Active[B_NOAEL], 5)/Q153,""),"")</f>
        <v/>
      </c>
      <c r="S153" s="204"/>
      <c r="T153" s="56"/>
      <c r="U153" s="56"/>
      <c r="V153" s="56"/>
      <c r="W153" s="56"/>
      <c r="X153" s="56"/>
      <c r="Y153" s="56"/>
      <c r="Z153" s="56"/>
      <c r="AA153" s="56"/>
      <c r="AB153" s="56"/>
      <c r="AC153" s="56"/>
      <c r="AD153" s="56"/>
      <c r="AE153" s="56"/>
      <c r="AF153" s="56"/>
      <c r="AG153" s="56"/>
      <c r="AH153" s="56"/>
    </row>
    <row r="154" spans="1:34" s="106" customFormat="1" ht="16.5" customHeight="1">
      <c r="A154" s="56"/>
      <c r="B154" s="314" t="str">
        <f t="shared" ca="1" si="3"/>
        <v>No input</v>
      </c>
      <c r="C154" s="72" t="s">
        <v>191</v>
      </c>
      <c r="D154" s="73" t="s">
        <v>111</v>
      </c>
      <c r="E154" s="73" t="s">
        <v>231</v>
      </c>
      <c r="F154" s="113">
        <v>9.9</v>
      </c>
      <c r="G154" s="203" t="str">
        <f ca="1">IF(AND(Bird_Chronic[[#This Row],[Relevance]]="Input provided", Count&gt;=1),
       IF(B_ChronicScheme="C(mix)",
                 HLOOKUP(Bird_Chronic[[#This Row],[Crop]], Input_Scenario,10,FALSE)*Bird_Chronic[[#This Row],[SVm]]*HLOOKUP(Bird_Chronic[[#This Row],[Crop]],Input_Scenario,8,FALSE),""),"")</f>
        <v/>
      </c>
      <c r="H154" s="368" t="str">
        <f>IF(Count&gt;=1,
       IF(AND(B_ChronicScheme ="C(mix)", ISNUMBER(G154)), (B_NOAEL_form/G154),
       IF(AND(B_ChronicScheme = "HIsum", Count &gt; 1),
            IF(ISNUMBER(J154), IF(ISNUMBER(J154), 5/J154, 0) + IF(ISNUMBER(L154), 5/L154, 0) + IF(ISNUMBER(N154), 5/N154, 0) + IF(ISNUMBER(P154), 5/P154, 0) + IF(ISNUMBER(R154), 5/R154, 0),""), "")),"")</f>
        <v/>
      </c>
      <c r="I154" s="370" t="str">
        <f>IFERROR(IF(Active1=TRUE,HLOOKUP(Bird_Chronic[[#This Row],[Crop]],Input_Scenario,11,FALSE)*HLOOKUP(Bird_Chronic[[#This Row],[Crop]],Input_Scenario,8,FALSE)*Bird_Chronic[[#This Row],[SVm]],""),"")</f>
        <v/>
      </c>
      <c r="J154" s="370" t="str">
        <f>IFERROR(IF(ISNUMBER(INDEX(Active[B_NOAEL], 1)),
                          INDEX(Active[B_NOAEL], 1)/I154,""),"")</f>
        <v/>
      </c>
      <c r="K154" s="370" t="str">
        <f>IFERROR(IF(Active2=TRUE,HLOOKUP(Bird_Chronic[[#This Row],[Crop]],Input_Scenario,12,FALSE)*HLOOKUP(Bird_Chronic[[#This Row],[Crop]],Input_Scenario,8,FALSE)*Bird_Chronic[[#This Row],[SVm]],""),"")</f>
        <v/>
      </c>
      <c r="L154" s="370" t="str">
        <f>IFERROR(IF(ISNUMBER(INDEX(Active[B_NOAEL], 2)),
                          INDEX(Active[B_NOAEL], 2)/K154,""),"")</f>
        <v/>
      </c>
      <c r="M154" s="370" t="str">
        <f>IFERROR(IF(Active3=TRUE,HLOOKUP(Bird_Chronic[[#This Row],[Crop]],Input_Scenario,12,FALSE)*HLOOKUP(Bird_Chronic[[#This Row],[Crop]],Input_Scenario,8,FALSE)*Bird_Chronic[[#This Row],[SVm]],""),"")</f>
        <v/>
      </c>
      <c r="N154" s="370" t="str">
        <f>IFERROR(IF(ISNUMBER(INDEX(Active[B_NOAEL], 3)),
                          INDEX(Active[B_NOAEL], 3)/M154,""),"")</f>
        <v/>
      </c>
      <c r="O154" s="370" t="str">
        <f>IFERROR(IF(Active4=TRUE,HLOOKUP(Bird_Chronic[[#This Row],[Crop]],Input_Scenario,13,FALSE)*HLOOKUP(Bird_Chronic[[#This Row],[Crop]],Input_Scenario,8,FALSE)*Bird_Chronic[[#This Row],[SVm]],""),"")</f>
        <v/>
      </c>
      <c r="P154" s="370" t="str">
        <f>IFERROR(IF(ISNUMBER(INDEX(Active[B_NOAEL], 4)),
                          INDEX(Active[B_NOAEL], 4)/O154,""),"")</f>
        <v/>
      </c>
      <c r="Q154" s="370" t="str">
        <f>IFERROR(IF(Active5=TRUE,HLOOKUP(Bird_Chronic[[#This Row],[Crop]],Input_Scenario,14,FALSE)*HLOOKUP(Bird_Chronic[[#This Row],[Crop]],Input_Scenario,8,FALSE)*Bird_Chronic[[#This Row],[SVm]],""),"")</f>
        <v/>
      </c>
      <c r="R154" s="370" t="str">
        <f>IFERROR(IF(ISNUMBER(INDEX(Active[B_NOAEL], 5)),
                          INDEX(Active[B_NOAEL], 5)/Q154,""),"")</f>
        <v/>
      </c>
      <c r="S154" s="204"/>
      <c r="T154" s="56"/>
      <c r="U154" s="56"/>
      <c r="V154" s="56"/>
      <c r="W154" s="56"/>
      <c r="X154" s="56"/>
      <c r="Y154" s="56"/>
      <c r="Z154" s="56"/>
      <c r="AA154" s="56"/>
      <c r="AB154" s="56"/>
      <c r="AC154" s="56"/>
      <c r="AD154" s="56"/>
      <c r="AE154" s="56"/>
      <c r="AF154" s="56"/>
      <c r="AG154" s="56"/>
      <c r="AH154" s="56"/>
    </row>
    <row r="155" spans="1:34" s="106" customFormat="1" ht="16.5" customHeight="1">
      <c r="A155" s="56"/>
      <c r="B155" s="314" t="str">
        <f t="shared" ca="1" si="3"/>
        <v>No input</v>
      </c>
      <c r="C155" s="72" t="s">
        <v>191</v>
      </c>
      <c r="D155" s="73" t="s">
        <v>146</v>
      </c>
      <c r="E155" s="73" t="s">
        <v>209</v>
      </c>
      <c r="F155" s="113">
        <v>5.7</v>
      </c>
      <c r="G155" s="203" t="str">
        <f ca="1">IF(AND(Bird_Chronic[[#This Row],[Relevance]]="Input provided", Count&gt;=1),
       IF(B_ChronicScheme="C(mix)",
                 HLOOKUP(Bird_Chronic[[#This Row],[Crop]], Input_Scenario,10,FALSE)*Bird_Chronic[[#This Row],[SVm]]*HLOOKUP(Bird_Chronic[[#This Row],[Crop]],Input_Scenario,8,FALSE),""),"")</f>
        <v/>
      </c>
      <c r="H155" s="368" t="str">
        <f>IF(Count&gt;=1,
       IF(AND(B_ChronicScheme ="C(mix)", ISNUMBER(G155)), (B_NOAEL_form/G155),
       IF(AND(B_ChronicScheme = "HIsum", Count &gt; 1),
            IF(ISNUMBER(J155), IF(ISNUMBER(J155), 5/J155, 0) + IF(ISNUMBER(L155), 5/L155, 0) + IF(ISNUMBER(N155), 5/N155, 0) + IF(ISNUMBER(P155), 5/P155, 0) + IF(ISNUMBER(R155), 5/R155, 0),""), "")),"")</f>
        <v/>
      </c>
      <c r="I155" s="370" t="str">
        <f>IFERROR(IF(Active1=TRUE,HLOOKUP(Bird_Chronic[[#This Row],[Crop]],Input_Scenario,11,FALSE)*HLOOKUP(Bird_Chronic[[#This Row],[Crop]],Input_Scenario,8,FALSE)*Bird_Chronic[[#This Row],[SVm]],""),"")</f>
        <v/>
      </c>
      <c r="J155" s="370" t="str">
        <f>IFERROR(IF(ISNUMBER(INDEX(Active[B_NOAEL], 1)),
                          INDEX(Active[B_NOAEL], 1)/I155,""),"")</f>
        <v/>
      </c>
      <c r="K155" s="370" t="str">
        <f>IFERROR(IF(Active2=TRUE,HLOOKUP(Bird_Chronic[[#This Row],[Crop]],Input_Scenario,12,FALSE)*HLOOKUP(Bird_Chronic[[#This Row],[Crop]],Input_Scenario,8,FALSE)*Bird_Chronic[[#This Row],[SVm]],""),"")</f>
        <v/>
      </c>
      <c r="L155" s="370" t="str">
        <f>IFERROR(IF(ISNUMBER(INDEX(Active[B_NOAEL], 2)),
                          INDEX(Active[B_NOAEL], 2)/K155,""),"")</f>
        <v/>
      </c>
      <c r="M155" s="370" t="str">
        <f>IFERROR(IF(Active3=TRUE,HLOOKUP(Bird_Chronic[[#This Row],[Crop]],Input_Scenario,12,FALSE)*HLOOKUP(Bird_Chronic[[#This Row],[Crop]],Input_Scenario,8,FALSE)*Bird_Chronic[[#This Row],[SVm]],""),"")</f>
        <v/>
      </c>
      <c r="N155" s="370" t="str">
        <f>IFERROR(IF(ISNUMBER(INDEX(Active[B_NOAEL], 3)),
                          INDEX(Active[B_NOAEL], 3)/M155,""),"")</f>
        <v/>
      </c>
      <c r="O155" s="370" t="str">
        <f>IFERROR(IF(Active4=TRUE,HLOOKUP(Bird_Chronic[[#This Row],[Crop]],Input_Scenario,13,FALSE)*HLOOKUP(Bird_Chronic[[#This Row],[Crop]],Input_Scenario,8,FALSE)*Bird_Chronic[[#This Row],[SVm]],""),"")</f>
        <v/>
      </c>
      <c r="P155" s="370" t="str">
        <f>IFERROR(IF(ISNUMBER(INDEX(Active[B_NOAEL], 4)),
                          INDEX(Active[B_NOAEL], 4)/O155,""),"")</f>
        <v/>
      </c>
      <c r="Q155" s="370" t="str">
        <f>IFERROR(IF(Active5=TRUE,HLOOKUP(Bird_Chronic[[#This Row],[Crop]],Input_Scenario,14,FALSE)*HLOOKUP(Bird_Chronic[[#This Row],[Crop]],Input_Scenario,8,FALSE)*Bird_Chronic[[#This Row],[SVm]],""),"")</f>
        <v/>
      </c>
      <c r="R155" s="370" t="str">
        <f>IFERROR(IF(ISNUMBER(INDEX(Active[B_NOAEL], 5)),
                          INDEX(Active[B_NOAEL], 5)/Q155,""),"")</f>
        <v/>
      </c>
      <c r="S155" s="204"/>
      <c r="T155" s="56"/>
      <c r="U155" s="56"/>
      <c r="V155" s="56"/>
      <c r="W155" s="56"/>
      <c r="X155" s="56"/>
      <c r="Y155" s="56"/>
      <c r="Z155" s="56"/>
      <c r="AA155" s="56"/>
      <c r="AB155" s="56"/>
      <c r="AC155" s="56"/>
      <c r="AD155" s="56"/>
      <c r="AE155" s="56"/>
      <c r="AF155" s="56"/>
      <c r="AG155" s="56"/>
      <c r="AH155" s="56"/>
    </row>
    <row r="156" spans="1:34" s="106" customFormat="1" ht="16.5" customHeight="1">
      <c r="A156" s="56"/>
      <c r="B156" s="314" t="str">
        <f t="shared" ca="1" si="3"/>
        <v>No input</v>
      </c>
      <c r="C156" s="72" t="s">
        <v>191</v>
      </c>
      <c r="D156" s="73" t="s">
        <v>146</v>
      </c>
      <c r="E156" s="73" t="s">
        <v>210</v>
      </c>
      <c r="F156" s="113">
        <v>5.4</v>
      </c>
      <c r="G156" s="203" t="str">
        <f ca="1">IF(AND(Bird_Chronic[[#This Row],[Relevance]]="Input provided", Count&gt;=1),
       IF(B_ChronicScheme="C(mix)",
                 HLOOKUP(Bird_Chronic[[#This Row],[Crop]], Input_Scenario,10,FALSE)*Bird_Chronic[[#This Row],[SVm]]*HLOOKUP(Bird_Chronic[[#This Row],[Crop]],Input_Scenario,8,FALSE),""),"")</f>
        <v/>
      </c>
      <c r="H156" s="368" t="str">
        <f>IF(Count&gt;=1,
       IF(AND(B_ChronicScheme ="C(mix)", ISNUMBER(G156)), (B_NOAEL_form/G156),
       IF(AND(B_ChronicScheme = "HIsum", Count &gt; 1),
            IF(ISNUMBER(J156), IF(ISNUMBER(J156), 5/J156, 0) + IF(ISNUMBER(L156), 5/L156, 0) + IF(ISNUMBER(N156), 5/N156, 0) + IF(ISNUMBER(P156), 5/P156, 0) + IF(ISNUMBER(R156), 5/R156, 0),""), "")),"")</f>
        <v/>
      </c>
      <c r="I156" s="370" t="str">
        <f>IFERROR(IF(Active1=TRUE,HLOOKUP(Bird_Chronic[[#This Row],[Crop]],Input_Scenario,11,FALSE)*HLOOKUP(Bird_Chronic[[#This Row],[Crop]],Input_Scenario,8,FALSE)*Bird_Chronic[[#This Row],[SVm]],""),"")</f>
        <v/>
      </c>
      <c r="J156" s="370" t="str">
        <f>IFERROR(IF(ISNUMBER(INDEX(Active[B_NOAEL], 1)),
                          INDEX(Active[B_NOAEL], 1)/I156,""),"")</f>
        <v/>
      </c>
      <c r="K156" s="370" t="str">
        <f>IFERROR(IF(Active2=TRUE,HLOOKUP(Bird_Chronic[[#This Row],[Crop]],Input_Scenario,12,FALSE)*HLOOKUP(Bird_Chronic[[#This Row],[Crop]],Input_Scenario,8,FALSE)*Bird_Chronic[[#This Row],[SVm]],""),"")</f>
        <v/>
      </c>
      <c r="L156" s="370" t="str">
        <f>IFERROR(IF(ISNUMBER(INDEX(Active[B_NOAEL], 2)),
                          INDEX(Active[B_NOAEL], 2)/K156,""),"")</f>
        <v/>
      </c>
      <c r="M156" s="370" t="str">
        <f>IFERROR(IF(Active3=TRUE,HLOOKUP(Bird_Chronic[[#This Row],[Crop]],Input_Scenario,12,FALSE)*HLOOKUP(Bird_Chronic[[#This Row],[Crop]],Input_Scenario,8,FALSE)*Bird_Chronic[[#This Row],[SVm]],""),"")</f>
        <v/>
      </c>
      <c r="N156" s="370" t="str">
        <f>IFERROR(IF(ISNUMBER(INDEX(Active[B_NOAEL], 3)),
                          INDEX(Active[B_NOAEL], 3)/M156,""),"")</f>
        <v/>
      </c>
      <c r="O156" s="370" t="str">
        <f>IFERROR(IF(Active4=TRUE,HLOOKUP(Bird_Chronic[[#This Row],[Crop]],Input_Scenario,13,FALSE)*HLOOKUP(Bird_Chronic[[#This Row],[Crop]],Input_Scenario,8,FALSE)*Bird_Chronic[[#This Row],[SVm]],""),"")</f>
        <v/>
      </c>
      <c r="P156" s="370" t="str">
        <f>IFERROR(IF(ISNUMBER(INDEX(Active[B_NOAEL], 4)),
                          INDEX(Active[B_NOAEL], 4)/O156,""),"")</f>
        <v/>
      </c>
      <c r="Q156" s="370" t="str">
        <f>IFERROR(IF(Active5=TRUE,HLOOKUP(Bird_Chronic[[#This Row],[Crop]],Input_Scenario,14,FALSE)*HLOOKUP(Bird_Chronic[[#This Row],[Crop]],Input_Scenario,8,FALSE)*Bird_Chronic[[#This Row],[SVm]],""),"")</f>
        <v/>
      </c>
      <c r="R156" s="370" t="str">
        <f>IFERROR(IF(ISNUMBER(INDEX(Active[B_NOAEL], 5)),
                          INDEX(Active[B_NOAEL], 5)/Q156,""),"")</f>
        <v/>
      </c>
      <c r="S156" s="204"/>
      <c r="T156" s="56"/>
      <c r="U156" s="56"/>
      <c r="V156" s="56"/>
      <c r="W156" s="56"/>
      <c r="X156" s="56"/>
      <c r="Y156" s="56"/>
      <c r="Z156" s="56"/>
      <c r="AA156" s="56"/>
      <c r="AB156" s="56"/>
      <c r="AC156" s="56"/>
      <c r="AD156" s="56"/>
      <c r="AE156" s="56"/>
      <c r="AF156" s="56"/>
      <c r="AG156" s="56"/>
      <c r="AH156" s="56"/>
    </row>
    <row r="157" spans="1:34" s="106" customFormat="1" ht="16.5" customHeight="1">
      <c r="A157" s="56"/>
      <c r="B157" s="314" t="str">
        <f t="shared" ca="1" si="3"/>
        <v>No input</v>
      </c>
      <c r="C157" s="72" t="s">
        <v>191</v>
      </c>
      <c r="D157" s="73" t="s">
        <v>109</v>
      </c>
      <c r="E157" s="73" t="s">
        <v>209</v>
      </c>
      <c r="F157" s="113">
        <v>3.4</v>
      </c>
      <c r="G157" s="203" t="str">
        <f ca="1">IF(AND(Bird_Chronic[[#This Row],[Relevance]]="Input provided", Count&gt;=1),
       IF(B_ChronicScheme="C(mix)",
                 HLOOKUP(Bird_Chronic[[#This Row],[Crop]], Input_Scenario,10,FALSE)*Bird_Chronic[[#This Row],[SVm]]*HLOOKUP(Bird_Chronic[[#This Row],[Crop]],Input_Scenario,8,FALSE),""),"")</f>
        <v/>
      </c>
      <c r="H157" s="368" t="str">
        <f>IF(Count&gt;=1,
       IF(AND(B_ChronicScheme ="C(mix)", ISNUMBER(G157)), (B_NOAEL_form/G157),
       IF(AND(B_ChronicScheme = "HIsum", Count &gt; 1),
            IF(ISNUMBER(J157), IF(ISNUMBER(J157), 5/J157, 0) + IF(ISNUMBER(L157), 5/L157, 0) + IF(ISNUMBER(N157), 5/N157, 0) + IF(ISNUMBER(P157), 5/P157, 0) + IF(ISNUMBER(R157), 5/R157, 0),""), "")),"")</f>
        <v/>
      </c>
      <c r="I157" s="370" t="str">
        <f>IFERROR(IF(Active1=TRUE,HLOOKUP(Bird_Chronic[[#This Row],[Crop]],Input_Scenario,11,FALSE)*HLOOKUP(Bird_Chronic[[#This Row],[Crop]],Input_Scenario,8,FALSE)*Bird_Chronic[[#This Row],[SVm]],""),"")</f>
        <v/>
      </c>
      <c r="J157" s="370" t="str">
        <f>IFERROR(IF(ISNUMBER(INDEX(Active[B_NOAEL], 1)),
                          INDEX(Active[B_NOAEL], 1)/I157,""),"")</f>
        <v/>
      </c>
      <c r="K157" s="370" t="str">
        <f>IFERROR(IF(Active2=TRUE,HLOOKUP(Bird_Chronic[[#This Row],[Crop]],Input_Scenario,12,FALSE)*HLOOKUP(Bird_Chronic[[#This Row],[Crop]],Input_Scenario,8,FALSE)*Bird_Chronic[[#This Row],[SVm]],""),"")</f>
        <v/>
      </c>
      <c r="L157" s="370" t="str">
        <f>IFERROR(IF(ISNUMBER(INDEX(Active[B_NOAEL], 2)),
                          INDEX(Active[B_NOAEL], 2)/K157,""),"")</f>
        <v/>
      </c>
      <c r="M157" s="370" t="str">
        <f>IFERROR(IF(Active3=TRUE,HLOOKUP(Bird_Chronic[[#This Row],[Crop]],Input_Scenario,12,FALSE)*HLOOKUP(Bird_Chronic[[#This Row],[Crop]],Input_Scenario,8,FALSE)*Bird_Chronic[[#This Row],[SVm]],""),"")</f>
        <v/>
      </c>
      <c r="N157" s="370" t="str">
        <f>IFERROR(IF(ISNUMBER(INDEX(Active[B_NOAEL], 3)),
                          INDEX(Active[B_NOAEL], 3)/M157,""),"")</f>
        <v/>
      </c>
      <c r="O157" s="370" t="str">
        <f>IFERROR(IF(Active4=TRUE,HLOOKUP(Bird_Chronic[[#This Row],[Crop]],Input_Scenario,13,FALSE)*HLOOKUP(Bird_Chronic[[#This Row],[Crop]],Input_Scenario,8,FALSE)*Bird_Chronic[[#This Row],[SVm]],""),"")</f>
        <v/>
      </c>
      <c r="P157" s="370" t="str">
        <f>IFERROR(IF(ISNUMBER(INDEX(Active[B_NOAEL], 4)),
                          INDEX(Active[B_NOAEL], 4)/O157,""),"")</f>
        <v/>
      </c>
      <c r="Q157" s="370" t="str">
        <f>IFERROR(IF(Active5=TRUE,HLOOKUP(Bird_Chronic[[#This Row],[Crop]],Input_Scenario,14,FALSE)*HLOOKUP(Bird_Chronic[[#This Row],[Crop]],Input_Scenario,8,FALSE)*Bird_Chronic[[#This Row],[SVm]],""),"")</f>
        <v/>
      </c>
      <c r="R157" s="370" t="str">
        <f>IFERROR(IF(ISNUMBER(INDEX(Active[B_NOAEL], 5)),
                          INDEX(Active[B_NOAEL], 5)/Q157,""),"")</f>
        <v/>
      </c>
      <c r="S157" s="204"/>
      <c r="T157" s="56"/>
      <c r="U157" s="56"/>
      <c r="V157" s="56"/>
      <c r="W157" s="56"/>
      <c r="X157" s="56"/>
      <c r="Y157" s="56"/>
      <c r="Z157" s="56"/>
      <c r="AA157" s="56"/>
      <c r="AB157" s="56"/>
      <c r="AC157" s="56"/>
      <c r="AD157" s="56"/>
      <c r="AE157" s="56"/>
      <c r="AF157" s="56"/>
      <c r="AG157" s="56"/>
      <c r="AH157" s="56"/>
    </row>
    <row r="158" spans="1:34" s="106" customFormat="1" ht="16.5" customHeight="1">
      <c r="A158" s="56"/>
      <c r="B158" s="314" t="str">
        <f t="shared" ca="1" si="3"/>
        <v>No input</v>
      </c>
      <c r="C158" s="72" t="s">
        <v>191</v>
      </c>
      <c r="D158" s="73" t="s">
        <v>109</v>
      </c>
      <c r="E158" s="73" t="s">
        <v>210</v>
      </c>
      <c r="F158" s="113">
        <v>3.3</v>
      </c>
      <c r="G158" s="203" t="str">
        <f ca="1">IF(AND(Bird_Chronic[[#This Row],[Relevance]]="Input provided", Count&gt;=1),
       IF(B_ChronicScheme="C(mix)",
                 HLOOKUP(Bird_Chronic[[#This Row],[Crop]], Input_Scenario,10,FALSE)*Bird_Chronic[[#This Row],[SVm]]*HLOOKUP(Bird_Chronic[[#This Row],[Crop]],Input_Scenario,8,FALSE),""),"")</f>
        <v/>
      </c>
      <c r="H158" s="368" t="str">
        <f>IF(Count&gt;=1,
       IF(AND(B_ChronicScheme ="C(mix)", ISNUMBER(G158)), (B_NOAEL_form/G158),
       IF(AND(B_ChronicScheme = "HIsum", Count &gt; 1),
            IF(ISNUMBER(J158), IF(ISNUMBER(J158), 5/J158, 0) + IF(ISNUMBER(L158), 5/L158, 0) + IF(ISNUMBER(N158), 5/N158, 0) + IF(ISNUMBER(P158), 5/P158, 0) + IF(ISNUMBER(R158), 5/R158, 0),""), "")),"")</f>
        <v/>
      </c>
      <c r="I158" s="370" t="str">
        <f>IFERROR(IF(Active1=TRUE,HLOOKUP(Bird_Chronic[[#This Row],[Crop]],Input_Scenario,11,FALSE)*HLOOKUP(Bird_Chronic[[#This Row],[Crop]],Input_Scenario,8,FALSE)*Bird_Chronic[[#This Row],[SVm]],""),"")</f>
        <v/>
      </c>
      <c r="J158" s="370" t="str">
        <f>IFERROR(IF(ISNUMBER(INDEX(Active[B_NOAEL], 1)),
                          INDEX(Active[B_NOAEL], 1)/I158,""),"")</f>
        <v/>
      </c>
      <c r="K158" s="370" t="str">
        <f>IFERROR(IF(Active2=TRUE,HLOOKUP(Bird_Chronic[[#This Row],[Crop]],Input_Scenario,12,FALSE)*HLOOKUP(Bird_Chronic[[#This Row],[Crop]],Input_Scenario,8,FALSE)*Bird_Chronic[[#This Row],[SVm]],""),"")</f>
        <v/>
      </c>
      <c r="L158" s="370" t="str">
        <f>IFERROR(IF(ISNUMBER(INDEX(Active[B_NOAEL], 2)),
                          INDEX(Active[B_NOAEL], 2)/K158,""),"")</f>
        <v/>
      </c>
      <c r="M158" s="370" t="str">
        <f>IFERROR(IF(Active3=TRUE,HLOOKUP(Bird_Chronic[[#This Row],[Crop]],Input_Scenario,12,FALSE)*HLOOKUP(Bird_Chronic[[#This Row],[Crop]],Input_Scenario,8,FALSE)*Bird_Chronic[[#This Row],[SVm]],""),"")</f>
        <v/>
      </c>
      <c r="N158" s="370" t="str">
        <f>IFERROR(IF(ISNUMBER(INDEX(Active[B_NOAEL], 3)),
                          INDEX(Active[B_NOAEL], 3)/M158,""),"")</f>
        <v/>
      </c>
      <c r="O158" s="370" t="str">
        <f>IFERROR(IF(Active4=TRUE,HLOOKUP(Bird_Chronic[[#This Row],[Crop]],Input_Scenario,13,FALSE)*HLOOKUP(Bird_Chronic[[#This Row],[Crop]],Input_Scenario,8,FALSE)*Bird_Chronic[[#This Row],[SVm]],""),"")</f>
        <v/>
      </c>
      <c r="P158" s="370" t="str">
        <f>IFERROR(IF(ISNUMBER(INDEX(Active[B_NOAEL], 4)),
                          INDEX(Active[B_NOAEL], 4)/O158,""),"")</f>
        <v/>
      </c>
      <c r="Q158" s="370" t="str">
        <f>IFERROR(IF(Active5=TRUE,HLOOKUP(Bird_Chronic[[#This Row],[Crop]],Input_Scenario,14,FALSE)*HLOOKUP(Bird_Chronic[[#This Row],[Crop]],Input_Scenario,8,FALSE)*Bird_Chronic[[#This Row],[SVm]],""),"")</f>
        <v/>
      </c>
      <c r="R158" s="370" t="str">
        <f>IFERROR(IF(ISNUMBER(INDEX(Active[B_NOAEL], 5)),
                          INDEX(Active[B_NOAEL], 5)/Q158,""),"")</f>
        <v/>
      </c>
      <c r="S158" s="204"/>
      <c r="T158" s="56"/>
      <c r="U158" s="56"/>
      <c r="V158" s="56"/>
      <c r="W158" s="56"/>
      <c r="X158" s="56"/>
      <c r="Y158" s="56"/>
      <c r="Z158" s="56"/>
      <c r="AA158" s="56"/>
      <c r="AB158" s="56"/>
      <c r="AC158" s="56"/>
      <c r="AD158" s="56"/>
      <c r="AE158" s="56"/>
      <c r="AF158" s="56"/>
      <c r="AG158" s="56"/>
      <c r="AH158" s="56"/>
    </row>
    <row r="159" spans="1:34" s="106" customFormat="1" ht="16.5" customHeight="1">
      <c r="A159" s="56"/>
      <c r="B159" s="314" t="str">
        <f t="shared" ca="1" si="3"/>
        <v>No input</v>
      </c>
      <c r="C159" s="72" t="s">
        <v>191</v>
      </c>
      <c r="D159" s="73" t="s">
        <v>193</v>
      </c>
      <c r="E159" s="73" t="s">
        <v>232</v>
      </c>
      <c r="F159" s="113">
        <v>14.4</v>
      </c>
      <c r="G159" s="203" t="str">
        <f ca="1">IF(AND(Bird_Chronic[[#This Row],[Relevance]]="Input provided", Count&gt;=1),
       IF(B_ChronicScheme="C(mix)",
                 HLOOKUP(Bird_Chronic[[#This Row],[Crop]], Input_Scenario,10,FALSE)*Bird_Chronic[[#This Row],[SVm]]*HLOOKUP(Bird_Chronic[[#This Row],[Crop]],Input_Scenario,8,FALSE),""),"")</f>
        <v/>
      </c>
      <c r="H159" s="368" t="str">
        <f>IF(Count&gt;=1,
       IF(AND(B_ChronicScheme ="C(mix)", ISNUMBER(G159)), (B_NOAEL_form/G159),
       IF(AND(B_ChronicScheme = "HIsum", Count &gt; 1),
            IF(ISNUMBER(J159), IF(ISNUMBER(J159), 5/J159, 0) + IF(ISNUMBER(L159), 5/L159, 0) + IF(ISNUMBER(N159), 5/N159, 0) + IF(ISNUMBER(P159), 5/P159, 0) + IF(ISNUMBER(R159), 5/R159, 0),""), "")),"")</f>
        <v/>
      </c>
      <c r="I159" s="370" t="str">
        <f>IFERROR(IF(Active1=TRUE,HLOOKUP(Bird_Chronic[[#This Row],[Crop]],Input_Scenario,11,FALSE)*HLOOKUP(Bird_Chronic[[#This Row],[Crop]],Input_Scenario,8,FALSE)*Bird_Chronic[[#This Row],[SVm]],""),"")</f>
        <v/>
      </c>
      <c r="J159" s="370" t="str">
        <f>IFERROR(IF(ISNUMBER(INDEX(Active[B_NOAEL], 1)),
                          INDEX(Active[B_NOAEL], 1)/I159,""),"")</f>
        <v/>
      </c>
      <c r="K159" s="370" t="str">
        <f>IFERROR(IF(Active2=TRUE,HLOOKUP(Bird_Chronic[[#This Row],[Crop]],Input_Scenario,12,FALSE)*HLOOKUP(Bird_Chronic[[#This Row],[Crop]],Input_Scenario,8,FALSE)*Bird_Chronic[[#This Row],[SVm]],""),"")</f>
        <v/>
      </c>
      <c r="L159" s="370" t="str">
        <f>IFERROR(IF(ISNUMBER(INDEX(Active[B_NOAEL], 2)),
                          INDEX(Active[B_NOAEL], 2)/K159,""),"")</f>
        <v/>
      </c>
      <c r="M159" s="370" t="str">
        <f>IFERROR(IF(Active3=TRUE,HLOOKUP(Bird_Chronic[[#This Row],[Crop]],Input_Scenario,12,FALSE)*HLOOKUP(Bird_Chronic[[#This Row],[Crop]],Input_Scenario,8,FALSE)*Bird_Chronic[[#This Row],[SVm]],""),"")</f>
        <v/>
      </c>
      <c r="N159" s="370" t="str">
        <f>IFERROR(IF(ISNUMBER(INDEX(Active[B_NOAEL], 3)),
                          INDEX(Active[B_NOAEL], 3)/M159,""),"")</f>
        <v/>
      </c>
      <c r="O159" s="370" t="str">
        <f>IFERROR(IF(Active4=TRUE,HLOOKUP(Bird_Chronic[[#This Row],[Crop]],Input_Scenario,13,FALSE)*HLOOKUP(Bird_Chronic[[#This Row],[Crop]],Input_Scenario,8,FALSE)*Bird_Chronic[[#This Row],[SVm]],""),"")</f>
        <v/>
      </c>
      <c r="P159" s="370" t="str">
        <f>IFERROR(IF(ISNUMBER(INDEX(Active[B_NOAEL], 4)),
                          INDEX(Active[B_NOAEL], 4)/O159,""),"")</f>
        <v/>
      </c>
      <c r="Q159" s="370" t="str">
        <f>IFERROR(IF(Active5=TRUE,HLOOKUP(Bird_Chronic[[#This Row],[Crop]],Input_Scenario,14,FALSE)*HLOOKUP(Bird_Chronic[[#This Row],[Crop]],Input_Scenario,8,FALSE)*Bird_Chronic[[#This Row],[SVm]],""),"")</f>
        <v/>
      </c>
      <c r="R159" s="370" t="str">
        <f>IFERROR(IF(ISNUMBER(INDEX(Active[B_NOAEL], 5)),
                          INDEX(Active[B_NOAEL], 5)/Q159,""),"")</f>
        <v/>
      </c>
      <c r="S159" s="204"/>
      <c r="T159" s="56"/>
      <c r="U159" s="56"/>
      <c r="V159" s="56"/>
      <c r="W159" s="56"/>
      <c r="X159" s="56"/>
      <c r="Y159" s="56"/>
      <c r="Z159" s="56"/>
      <c r="AA159" s="56"/>
      <c r="AB159" s="56"/>
      <c r="AC159" s="56"/>
      <c r="AD159" s="56"/>
      <c r="AE159" s="56"/>
      <c r="AF159" s="56"/>
      <c r="AG159" s="56"/>
      <c r="AH159" s="56"/>
    </row>
    <row r="160" spans="1:34" ht="14.45" customHeight="1">
      <c r="C160" s="58"/>
      <c r="D160" s="58"/>
      <c r="E160" s="58"/>
      <c r="F160" s="58"/>
      <c r="G160" s="58"/>
      <c r="H160" s="58"/>
      <c r="R160" s="59"/>
      <c r="S160" s="57"/>
      <c r="T160" s="59"/>
      <c r="U160" s="57"/>
    </row>
    <row r="161" spans="3:21" ht="22.5" customHeight="1">
      <c r="C161" s="91" t="s">
        <v>233</v>
      </c>
      <c r="D161" s="5"/>
      <c r="E161" s="5"/>
      <c r="F161" s="5"/>
      <c r="G161" s="5"/>
      <c r="H161" s="5"/>
      <c r="I161" s="5"/>
      <c r="R161" s="59"/>
      <c r="S161" s="57"/>
      <c r="T161" s="59"/>
      <c r="U161" s="57"/>
    </row>
    <row r="162" spans="3:21" ht="19.5" customHeight="1">
      <c r="C162" s="59"/>
      <c r="D162" s="59"/>
      <c r="E162" s="59"/>
      <c r="F162" s="59"/>
      <c r="G162" s="59"/>
      <c r="H162" s="59"/>
    </row>
    <row r="163" spans="3:21" ht="19.5" customHeight="1">
      <c r="C163" s="59"/>
      <c r="D163" s="59"/>
      <c r="E163" s="59"/>
      <c r="F163" s="59"/>
      <c r="G163" s="59"/>
      <c r="H163" s="59"/>
    </row>
    <row r="164" spans="3:21" ht="19.5" customHeight="1">
      <c r="C164" s="59"/>
      <c r="D164" s="59"/>
      <c r="E164" s="59"/>
      <c r="F164" s="59"/>
      <c r="G164" s="59"/>
      <c r="H164" s="59"/>
    </row>
    <row r="165" spans="3:21" ht="19.5" customHeight="1">
      <c r="C165" s="59"/>
      <c r="D165" s="59"/>
      <c r="E165" s="59"/>
      <c r="F165" s="59"/>
      <c r="G165" s="59"/>
      <c r="H165" s="59"/>
    </row>
    <row r="166" spans="3:21" ht="19.5" customHeight="1">
      <c r="C166" s="59"/>
      <c r="D166" s="59"/>
      <c r="E166" s="59"/>
      <c r="F166" s="59"/>
      <c r="G166" s="59"/>
      <c r="H166" s="59"/>
    </row>
    <row r="167" spans="3:21" ht="19.5" customHeight="1">
      <c r="C167" s="59"/>
      <c r="D167" s="59"/>
      <c r="E167" s="59"/>
      <c r="F167" s="59"/>
      <c r="G167" s="59"/>
      <c r="H167" s="59"/>
    </row>
    <row r="168" spans="3:21" ht="19.5" customHeight="1">
      <c r="C168" s="59"/>
      <c r="D168" s="59"/>
      <c r="E168" s="59"/>
      <c r="F168" s="59"/>
      <c r="G168" s="59"/>
      <c r="H168" s="59"/>
    </row>
    <row r="169" spans="3:21" ht="19.5" customHeight="1">
      <c r="C169" s="59"/>
      <c r="D169" s="59"/>
      <c r="E169" s="59"/>
      <c r="F169" s="59"/>
      <c r="G169" s="59"/>
      <c r="H169" s="59"/>
    </row>
    <row r="170" spans="3:21" ht="12" customHeight="1">
      <c r="C170" s="59"/>
      <c r="D170" s="59"/>
      <c r="E170" s="59"/>
      <c r="F170" s="59"/>
      <c r="G170" s="59"/>
      <c r="H170" s="59"/>
    </row>
    <row r="171" spans="3:21" ht="12" customHeight="1">
      <c r="C171" s="59"/>
      <c r="D171" s="59"/>
      <c r="E171" s="59"/>
      <c r="F171" s="59"/>
      <c r="G171" s="59"/>
      <c r="H171" s="59"/>
    </row>
    <row r="172" spans="3:21" ht="12" customHeight="1">
      <c r="C172" s="458" t="s">
        <v>197</v>
      </c>
      <c r="D172" s="458"/>
      <c r="E172" s="458"/>
      <c r="F172" s="458"/>
      <c r="G172" s="458"/>
      <c r="H172" s="458"/>
      <c r="I172" s="458"/>
      <c r="J172" s="458"/>
      <c r="K172" s="458"/>
    </row>
    <row r="173" spans="3:21" ht="12" customHeight="1">
      <c r="C173" s="458"/>
      <c r="D173" s="458"/>
      <c r="E173" s="458"/>
      <c r="F173" s="458"/>
      <c r="G173" s="458"/>
      <c r="H173" s="458"/>
      <c r="I173" s="458"/>
      <c r="J173" s="458"/>
      <c r="K173" s="458"/>
    </row>
    <row r="174" spans="3:21" ht="12.75">
      <c r="C174" s="332" t="s">
        <v>198</v>
      </c>
      <c r="D174" s="5"/>
      <c r="E174" s="5"/>
      <c r="F174" s="5"/>
      <c r="G174" s="5"/>
      <c r="H174" s="5"/>
      <c r="I174" s="5"/>
    </row>
  </sheetData>
  <sheetProtection algorithmName="SHA-512" hashValue="2OH9VMLy9ixPfxuQLl0NkjnAUSKI0c7I1R94l+t5QUkMPpxmpN6CV3q4Nu0nlJIaY6zs+UUwH5CCVGBUANzMIQ==" saltValue="/oFORR1+rvmZIU0r/57COQ==" spinCount="100000" sheet="1" objects="1" scenarios="1" formatColumns="0" formatRows="0" sort="0" autoFilter="0" pivotTables="0"/>
  <mergeCells count="11">
    <mergeCell ref="C3:R3"/>
    <mergeCell ref="C172:K173"/>
    <mergeCell ref="G30:H30"/>
    <mergeCell ref="AL7:AM8"/>
    <mergeCell ref="AL9:AM9"/>
    <mergeCell ref="I30:J30"/>
    <mergeCell ref="K30:L30"/>
    <mergeCell ref="M30:N30"/>
    <mergeCell ref="O30:P30"/>
    <mergeCell ref="Q30:R30"/>
    <mergeCell ref="F13:H18"/>
  </mergeCells>
  <conditionalFormatting sqref="H32:H159">
    <cfRule type="expression" dxfId="184" priority="64">
      <formula>OR(AND($H$31 = "HIsum", ISNUMBER(H32), H32 &lt; 1), AND($H$31 = "TERlt", ISNUMBER(H32), H32 &gt; 5))</formula>
    </cfRule>
    <cfRule type="expression" dxfId="183" priority="65">
      <formula>OR(AND($H$31 = "HIsum", ISNUMBER(H32), H32 &gt;=1), AND($H$31 = "TERlt", ISNUMBER(H32), H32 &lt;= 5))</formula>
    </cfRule>
  </conditionalFormatting>
  <conditionalFormatting sqref="J32:J159 L32:L159 N32:N159 P32:P159 R32:R159">
    <cfRule type="expression" dxfId="182" priority="11">
      <formula>AND(ISNUMBER(J32),J32&gt;5)</formula>
    </cfRule>
    <cfRule type="expression" dxfId="181" priority="21">
      <formula>AND(ISNUMBER(J32),J32&lt;=5)</formula>
    </cfRule>
  </conditionalFormatting>
  <conditionalFormatting sqref="G32:G159">
    <cfRule type="expression" dxfId="180" priority="12">
      <formula>$B32="Input provided"</formula>
    </cfRule>
  </conditionalFormatting>
  <conditionalFormatting sqref="I32:J159">
    <cfRule type="expression" dxfId="179" priority="10">
      <formula>AND(Active1=TRUE,  $B32&lt;&gt;"Input provided")</formula>
    </cfRule>
  </conditionalFormatting>
  <conditionalFormatting sqref="K32:L159">
    <cfRule type="expression" dxfId="178" priority="8">
      <formula>AND(Active2=TRUE,  $B32&lt;&gt;"Input provided")</formula>
    </cfRule>
  </conditionalFormatting>
  <conditionalFormatting sqref="M32:N159">
    <cfRule type="expression" dxfId="177" priority="9">
      <formula>AND(Active3=TRUE,  $B32&lt;&gt;"Input provided")</formula>
    </cfRule>
  </conditionalFormatting>
  <conditionalFormatting sqref="O32:P159">
    <cfRule type="expression" dxfId="176" priority="7">
      <formula>AND(Active4=TRUE,  $B32&lt;&gt;"Input provided")</formula>
    </cfRule>
  </conditionalFormatting>
  <conditionalFormatting sqref="Q32:R159">
    <cfRule type="expression" dxfId="175" priority="6">
      <formula>AND(Active5=TRUE,  $B32&lt;&gt;"Input provided")</formula>
    </cfRule>
  </conditionalFormatting>
  <conditionalFormatting sqref="B32:H159">
    <cfRule type="expression" dxfId="174" priority="29">
      <formula>$B32&lt;&gt;"Input provided"</formula>
    </cfRule>
  </conditionalFormatting>
  <conditionalFormatting sqref="D14:D18">
    <cfRule type="expression" dxfId="173" priority="5">
      <formula>ISNUMBER(D14)</formula>
    </cfRule>
  </conditionalFormatting>
  <conditionalFormatting sqref="F12:H18">
    <cfRule type="expression" dxfId="172" priority="2">
      <formula>NOT(ISNUMBER($D$13))</formula>
    </cfRule>
  </conditionalFormatting>
  <conditionalFormatting sqref="I30:J31">
    <cfRule type="expression" dxfId="171" priority="47">
      <formula>Active1=TRUE</formula>
    </cfRule>
  </conditionalFormatting>
  <conditionalFormatting sqref="K30:L31">
    <cfRule type="expression" dxfId="170" priority="46">
      <formula>Active2=TRUE</formula>
    </cfRule>
  </conditionalFormatting>
  <conditionalFormatting sqref="M30:N31">
    <cfRule type="expression" dxfId="169" priority="45">
      <formula>Active3=TRUE</formula>
    </cfRule>
  </conditionalFormatting>
  <conditionalFormatting sqref="O30:P31">
    <cfRule type="expression" dxfId="168" priority="44">
      <formula>Active4=TRUE</formula>
    </cfRule>
  </conditionalFormatting>
  <conditionalFormatting sqref="Q30:R31">
    <cfRule type="expression" dxfId="167" priority="43">
      <formula>Active5=TRUE</formula>
    </cfRule>
  </conditionalFormatting>
  <conditionalFormatting sqref="G31:G159">
    <cfRule type="expression" dxfId="166" priority="1">
      <formula>B_ChronicScheme = "Hisum"</formula>
    </cfRule>
  </conditionalFormatting>
  <dataValidations count="1">
    <dataValidation type="list" allowBlank="1" showInputMessage="1" showErrorMessage="1" sqref="H12" xr:uid="{C76C9EA5-4175-4CF7-9484-34086F8A9285}">
      <formula1>"Yes,No"</formula1>
    </dataValidation>
  </dataValidations>
  <hyperlinks>
    <hyperlink ref="C174" r:id="rId1" xr:uid="{910622E6-7821-431F-8CF9-4D002799643F}"/>
  </hyperlinks>
  <pageMargins left="0.7" right="0.7" top="0.75" bottom="0.75" header="0.3" footer="0.3"/>
  <pageSetup paperSize="9" orientation="portrait"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740" id="{6529AA89-9BB0-4706-AC27-AC91ACAC3A7C}">
            <xm:f>ISNUMBER(Input!$C$20)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I32:J159</xm:sqref>
        </x14:conditionalFormatting>
        <x14:conditionalFormatting xmlns:xm="http://schemas.microsoft.com/office/excel/2006/main">
          <x14:cfRule type="expression" priority="741" id="{47192475-8DB5-434A-9D1B-57EDA41B16BE}">
            <xm:f>ISNUMBER(Input!E$20)</xm:f>
            <x14:dxf>
              <font>
                <color theme="1"/>
              </font>
              <border>
                <left style="thin">
                  <color auto="1"/>
                </left>
                <right style="thin">
                  <color auto="1"/>
                </right>
                <top style="thin">
                  <color auto="1"/>
                </top>
                <bottom style="thin">
                  <color auto="1"/>
                </bottom>
              </border>
            </x14:dxf>
          </x14:cfRule>
          <xm:sqref>L32:L159</xm:sqref>
        </x14:conditionalFormatting>
        <x14:conditionalFormatting xmlns:xm="http://schemas.microsoft.com/office/excel/2006/main">
          <x14:cfRule type="expression" priority="742" id="{C5756188-33A0-4766-B11B-947A1DA312ED}">
            <xm:f>ISNUMBER(Input!$D$20)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K32:L159</xm:sqref>
        </x14:conditionalFormatting>
        <x14:conditionalFormatting xmlns:xm="http://schemas.microsoft.com/office/excel/2006/main">
          <x14:cfRule type="expression" priority="743" id="{F164B257-2DB6-4F4E-928E-41363A66C7F1}">
            <xm:f>ISNUMBER(Input!$E$20)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M32:N159</xm:sqref>
        </x14:conditionalFormatting>
        <x14:conditionalFormatting xmlns:xm="http://schemas.microsoft.com/office/excel/2006/main">
          <x14:cfRule type="expression" priority="744" id="{826B3220-D34B-41F7-BBB4-A90BF9F72B6C}">
            <xm:f>ISNUMBER(Input!$F$20)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O32:P159</xm:sqref>
        </x14:conditionalFormatting>
        <x14:conditionalFormatting xmlns:xm="http://schemas.microsoft.com/office/excel/2006/main">
          <x14:cfRule type="expression" priority="745" id="{93064CC7-EBC1-4E5E-998D-2A7E24B7CBC6}">
            <xm:f>ISNUMBER(Input!$G$20)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Q32:R159</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002A-1324-4FCC-ABE5-11994F5ADDF5}">
  <dimension ref="A2:P268"/>
  <sheetViews>
    <sheetView zoomScale="85" zoomScaleNormal="85" workbookViewId="0">
      <selection activeCell="F31" sqref="F31"/>
    </sheetView>
  </sheetViews>
  <sheetFormatPr defaultColWidth="11.5703125" defaultRowHeight="12.75"/>
  <cols>
    <col min="1" max="1" width="12" style="15" customWidth="1"/>
    <col min="2" max="2" width="12" style="15" hidden="1" customWidth="1"/>
    <col min="3" max="3" width="23.28515625" style="5" customWidth="1"/>
    <col min="4" max="6" width="29.7109375" style="5" customWidth="1"/>
    <col min="7" max="7" width="25" style="5" customWidth="1"/>
    <col min="8" max="8" width="19.5703125" style="5" customWidth="1"/>
    <col min="9" max="9" width="15.5703125" style="5" customWidth="1"/>
    <col min="10" max="10" width="25.42578125" style="5" customWidth="1"/>
    <col min="11" max="11" width="17.85546875" style="5" customWidth="1"/>
    <col min="12" max="12" width="17.42578125" style="5" customWidth="1"/>
    <col min="13" max="13" width="7.28515625" style="15" customWidth="1"/>
    <col min="14" max="14" width="12.85546875" style="5" customWidth="1"/>
    <col min="15" max="15" width="11.5703125" style="5"/>
    <col min="16" max="16" width="9.42578125" style="15" customWidth="1"/>
    <col min="17" max="16384" width="11.5703125" style="5"/>
  </cols>
  <sheetData>
    <row r="2" spans="1:16" ht="15" customHeight="1">
      <c r="A2" s="62"/>
      <c r="B2" s="63"/>
      <c r="C2" s="465" t="s">
        <v>69</v>
      </c>
      <c r="D2" s="465"/>
      <c r="E2" s="465"/>
      <c r="F2" s="465"/>
      <c r="G2" s="465"/>
      <c r="H2" s="64"/>
      <c r="I2" s="64"/>
      <c r="J2" s="64"/>
      <c r="K2" s="64"/>
      <c r="L2" s="64"/>
      <c r="M2" s="63"/>
      <c r="N2" s="65"/>
    </row>
    <row r="3" spans="1:16" ht="15" customHeight="1">
      <c r="A3" s="66"/>
      <c r="B3" s="67"/>
      <c r="C3" s="466"/>
      <c r="D3" s="466"/>
      <c r="E3" s="466"/>
      <c r="F3" s="466"/>
      <c r="G3" s="466"/>
      <c r="H3" s="68"/>
      <c r="I3" s="68"/>
      <c r="J3" s="68"/>
      <c r="K3" s="68"/>
      <c r="L3" s="68"/>
      <c r="M3" s="67"/>
      <c r="N3" s="69"/>
    </row>
    <row r="5" spans="1:16" ht="23.25" customHeight="1">
      <c r="A5" s="61"/>
      <c r="B5" s="392" t="str">
        <f ca="1">IF(Process!M5=TRUE,"Active","Passive")</f>
        <v>Passive</v>
      </c>
      <c r="C5" s="123" t="s">
        <v>70</v>
      </c>
      <c r="D5" s="122" t="s">
        <v>71</v>
      </c>
      <c r="E5" s="120"/>
      <c r="F5" s="120"/>
      <c r="G5" s="120"/>
      <c r="H5" s="120"/>
      <c r="I5" s="120"/>
      <c r="J5" s="120"/>
      <c r="K5" s="120"/>
      <c r="L5" s="120"/>
      <c r="M5" s="120"/>
      <c r="N5" s="121"/>
    </row>
    <row r="6" spans="1:16">
      <c r="C6" s="6"/>
      <c r="D6" s="6"/>
      <c r="E6" s="6"/>
      <c r="F6" s="6"/>
      <c r="G6" s="6"/>
      <c r="H6" s="6"/>
      <c r="I6" s="6"/>
      <c r="J6" s="6"/>
      <c r="K6" s="6"/>
      <c r="L6" s="6"/>
      <c r="M6" s="41"/>
      <c r="N6" s="6"/>
    </row>
    <row r="7" spans="1:16" s="43" customFormat="1" ht="57" customHeight="1">
      <c r="A7" s="17"/>
      <c r="B7" s="17"/>
      <c r="I7" s="8"/>
      <c r="M7" s="17"/>
      <c r="P7" s="17"/>
    </row>
    <row r="8" spans="1:16" ht="14.25">
      <c r="A8" s="41"/>
      <c r="B8" s="41"/>
      <c r="C8" s="108"/>
      <c r="D8" s="108"/>
      <c r="E8" s="108"/>
      <c r="F8" s="108"/>
      <c r="G8" s="7"/>
    </row>
    <row r="9" spans="1:16" ht="75" customHeight="1">
      <c r="A9" s="41"/>
      <c r="B9" s="41"/>
      <c r="C9" s="43"/>
      <c r="D9" s="43"/>
      <c r="E9" s="43"/>
      <c r="F9" s="43"/>
      <c r="G9" s="7"/>
    </row>
    <row r="10" spans="1:16" ht="14.25" customHeight="1">
      <c r="A10" s="41"/>
      <c r="B10" s="41"/>
    </row>
    <row r="11" spans="1:16" ht="20.25" customHeight="1">
      <c r="A11" s="41"/>
      <c r="B11" s="41"/>
      <c r="C11" s="34"/>
      <c r="D11" s="27" t="s">
        <v>72</v>
      </c>
      <c r="E11" s="8"/>
      <c r="F11" s="8"/>
      <c r="G11" s="7"/>
    </row>
    <row r="12" spans="1:16" ht="21.4" customHeight="1">
      <c r="A12" s="5"/>
      <c r="B12" s="41"/>
      <c r="C12" s="111" t="s">
        <v>73</v>
      </c>
      <c r="D12" s="180" t="str">
        <f ca="1">IF(Step1&lt;&gt;"Passive",IFERROR(INDEX(Product[LD50mix],2),""),"")</f>
        <v/>
      </c>
      <c r="E12" s="8"/>
      <c r="F12" s="8"/>
      <c r="G12" s="7"/>
    </row>
    <row r="13" spans="1:16" ht="15.75" customHeight="1">
      <c r="A13" s="41"/>
      <c r="B13" s="41"/>
      <c r="C13" s="20"/>
      <c r="E13" s="8"/>
      <c r="F13" s="8"/>
      <c r="G13" s="7"/>
    </row>
    <row r="14" spans="1:16" ht="10.5" hidden="1" customHeight="1">
      <c r="A14" s="41"/>
      <c r="B14" s="41"/>
      <c r="C14" s="20"/>
      <c r="D14" s="221">
        <f>IFERROR(INDEX(Active[i],1+COUNT($C$14:C14)),"")</f>
        <v>1</v>
      </c>
      <c r="E14" s="221">
        <f>IFERROR(INDEX(Active[i],1+COUNT($C$14:D14)),"")</f>
        <v>2</v>
      </c>
      <c r="F14" s="221">
        <f>IFERROR(INDEX(Active[i],1+COUNT($C$14:E14)),"")</f>
        <v>3</v>
      </c>
      <c r="G14" s="221">
        <f>IFERROR(INDEX(Active[i],1+COUNT($C$14:F14)),"")</f>
        <v>4</v>
      </c>
      <c r="H14" s="221">
        <f>IFERROR(INDEX(Active[i],1+COUNT($C$14:G14)),"")</f>
        <v>5</v>
      </c>
    </row>
    <row r="15" spans="1:16" ht="14.25">
      <c r="A15" s="41"/>
      <c r="B15" s="41"/>
      <c r="C15" s="20"/>
      <c r="D15" s="181" t="str">
        <f ca="1">IF(AND(Step1="Active",Active1=TRUE),INDEX(Active[Name],D14),"")</f>
        <v/>
      </c>
      <c r="E15" s="181" t="str">
        <f ca="1">IF(AND(Step1="Active",Active1=TRUE),INDEX(Active[Name],E14),"")</f>
        <v/>
      </c>
      <c r="F15" s="181" t="str">
        <f ca="1">IF(AND(Step1="Active",Active1=TRUE),INDEX(Active[Name],F14),"")</f>
        <v/>
      </c>
      <c r="G15" s="181" t="str">
        <f ca="1">IF(AND(Step1="Active",Active1=TRUE),INDEX(Active[Name],G14),"")</f>
        <v/>
      </c>
      <c r="H15" s="181" t="str">
        <f ca="1">IF(AND(Step1="Active",Active1=TRUE),INDEX(Active[Name],H14),"")</f>
        <v/>
      </c>
    </row>
    <row r="16" spans="1:16" ht="19.5" customHeight="1">
      <c r="B16" s="41"/>
      <c r="C16" s="129" t="s">
        <v>74</v>
      </c>
      <c r="D16" s="182" t="str">
        <f>IFERROR(INDEX(Active[M_tpfas],D14,),"")</f>
        <v/>
      </c>
      <c r="E16" s="182" t="str">
        <f>IFERROR(INDEX(Active[M_tpfas],E14,),"")</f>
        <v/>
      </c>
      <c r="F16" s="182" t="str">
        <f>IFERROR(INDEX(Active[M_tpfas],F14,),"")</f>
        <v/>
      </c>
      <c r="G16" s="182" t="str">
        <f>IFERROR(INDEX(Active[M_tpfas],G14,),"")</f>
        <v/>
      </c>
      <c r="H16" s="182" t="str">
        <f>IFERROR(INDEX(Active[M_tpfas],H14,),"")</f>
        <v/>
      </c>
    </row>
    <row r="17" spans="1:16" ht="19.5" customHeight="1">
      <c r="A17" s="41"/>
      <c r="C17" s="111" t="s">
        <v>75</v>
      </c>
      <c r="D17" s="183" t="str">
        <f ca="1">IFERROR(INDEX(Active[M_dev_tpfmix],D14),"")</f>
        <v/>
      </c>
      <c r="E17" s="183" t="str">
        <f ca="1">IFERROR(INDEX(Active[M_dev_tpfmix],E14),"")</f>
        <v/>
      </c>
      <c r="F17" s="183" t="str">
        <f ca="1">IFERROR(INDEX(Active[M_dev_tpfmix],F14),"")</f>
        <v/>
      </c>
      <c r="G17" s="183" t="str">
        <f ca="1">IFERROR(INDEX(Active[M_dev_tpfmix],G14),"")</f>
        <v/>
      </c>
      <c r="H17" s="183" t="str">
        <f ca="1">IFERROR(INDEX(Active[M_dev_tpfmix],H14),"")</f>
        <v/>
      </c>
    </row>
    <row r="18" spans="1:16" ht="19.5" customHeight="1">
      <c r="A18" s="41"/>
      <c r="B18" s="41"/>
      <c r="C18" s="4" t="s">
        <v>76</v>
      </c>
      <c r="D18" s="184" t="str">
        <f ca="1">IFERROR(INDEX(Active[M_contr_LD50mix],D14),"")</f>
        <v/>
      </c>
      <c r="E18" s="184" t="str">
        <f ca="1">IFERROR(INDEX(Active[M_contr_LD50mix],E14),"")</f>
        <v/>
      </c>
      <c r="F18" s="184" t="str">
        <f ca="1">IFERROR(INDEX(Active[M_contr_LD50mix],F14),"")</f>
        <v/>
      </c>
      <c r="G18" s="185" t="str">
        <f ca="1">IFERROR(INDEX(Active[M_contr_LD50mix],G14),"")</f>
        <v/>
      </c>
      <c r="H18" s="185" t="str">
        <f ca="1">IFERROR(INDEX(Active[M_contr_LD50mix],H14),"")</f>
        <v/>
      </c>
    </row>
    <row r="19" spans="1:16" ht="12.75" customHeight="1">
      <c r="C19" s="16"/>
      <c r="D19" s="16"/>
      <c r="E19" s="16"/>
      <c r="F19" s="16"/>
      <c r="G19" s="16"/>
      <c r="H19" s="16"/>
      <c r="I19" s="16"/>
      <c r="J19" s="8"/>
    </row>
    <row r="20" spans="1:16" ht="19.149999999999999" customHeight="1">
      <c r="C20" s="26" t="s">
        <v>77</v>
      </c>
      <c r="D20" s="91"/>
      <c r="I20" s="16"/>
      <c r="J20" s="8"/>
      <c r="K20" s="8"/>
      <c r="M20" s="9"/>
    </row>
    <row r="21" spans="1:16" ht="25.5" customHeight="1">
      <c r="C21" s="494" t="str">
        <f ca="1">IF(Step1="Active",INDEX(Process[HowToProceed_Mammals],1),"")</f>
        <v/>
      </c>
      <c r="D21" s="495"/>
      <c r="E21" s="495"/>
      <c r="F21" s="130" t="s">
        <v>78</v>
      </c>
      <c r="G21" s="43"/>
      <c r="H21" s="8"/>
      <c r="I21" s="8"/>
      <c r="J21" s="8"/>
      <c r="K21" s="8"/>
      <c r="L21" s="8"/>
      <c r="M21" s="9"/>
      <c r="N21" s="8"/>
    </row>
    <row r="22" spans="1:16" ht="25.5" customHeight="1">
      <c r="C22" s="496"/>
      <c r="D22" s="497"/>
      <c r="E22" s="497"/>
      <c r="F22" s="187" t="str">
        <f ca="1">IF(Step1="Active",INDEX(Process[Next step (mammals)],1),"")</f>
        <v/>
      </c>
      <c r="G22" s="43"/>
      <c r="H22" s="8"/>
      <c r="I22" s="8"/>
      <c r="J22" s="8"/>
      <c r="K22" s="8"/>
      <c r="L22" s="8"/>
      <c r="M22" s="9"/>
      <c r="N22" s="8"/>
    </row>
    <row r="23" spans="1:16">
      <c r="G23" s="18"/>
      <c r="H23" s="18"/>
      <c r="I23" s="8"/>
      <c r="J23" s="8"/>
      <c r="K23" s="8"/>
      <c r="L23" s="8"/>
      <c r="M23" s="9"/>
      <c r="N23" s="8"/>
    </row>
    <row r="24" spans="1:16">
      <c r="C24" s="12"/>
      <c r="D24" s="13"/>
      <c r="E24" s="13"/>
      <c r="F24" s="13"/>
      <c r="G24" s="13"/>
      <c r="H24" s="11"/>
      <c r="I24" s="11"/>
      <c r="J24" s="11"/>
      <c r="K24" s="11"/>
      <c r="L24" s="11"/>
      <c r="M24" s="41"/>
    </row>
    <row r="25" spans="1:16" ht="26.45" customHeight="1">
      <c r="A25" s="61"/>
      <c r="B25" s="392" t="str">
        <f ca="1">IF(Process!M6=TRUE,"Active","Passive")</f>
        <v>Passive</v>
      </c>
      <c r="C25" s="123" t="s">
        <v>79</v>
      </c>
      <c r="D25" s="122" t="s">
        <v>80</v>
      </c>
      <c r="E25" s="120"/>
      <c r="F25" s="120"/>
      <c r="G25" s="120"/>
      <c r="H25" s="120"/>
      <c r="I25" s="120"/>
      <c r="J25" s="120"/>
      <c r="K25" s="120"/>
      <c r="L25" s="120"/>
      <c r="M25" s="120"/>
      <c r="N25" s="121"/>
    </row>
    <row r="26" spans="1:16" ht="14.25" customHeight="1">
      <c r="A26" s="18"/>
      <c r="B26" s="18"/>
      <c r="C26" s="14"/>
      <c r="D26" s="14"/>
      <c r="E26" s="14"/>
      <c r="F26" s="14"/>
      <c r="G26" s="14"/>
      <c r="H26" s="14"/>
      <c r="I26" s="14"/>
      <c r="J26" s="14"/>
      <c r="K26" s="14"/>
      <c r="L26" s="14"/>
      <c r="M26" s="44"/>
      <c r="N26" s="14"/>
    </row>
    <row r="27" spans="1:16" s="43" customFormat="1" ht="39" customHeight="1">
      <c r="A27" s="117"/>
      <c r="B27" s="124"/>
      <c r="C27" s="511" t="str">
        <f ca="1">IF(Step2="Active",
         IF(F22="2a","Dose-response study with the formulation is available, compare predicted toxicity to the formulation endpoint (Step 2a).",
         IF(F22="2b","Limit test with the formulation is available, compare predicted toxicity to the formulation endpoint (Step 2b).",
         IF(F22=4,"Step 2 not relevant, go to Step 4.",""))),"")</f>
        <v/>
      </c>
      <c r="D27" s="512"/>
      <c r="E27" s="512"/>
      <c r="F27" s="513"/>
      <c r="H27" s="8"/>
      <c r="I27" s="8"/>
      <c r="J27" s="8"/>
      <c r="K27" s="8"/>
      <c r="L27" s="118"/>
      <c r="M27" s="119"/>
      <c r="N27" s="118"/>
      <c r="P27" s="17"/>
    </row>
    <row r="28" spans="1:16" ht="19.5" customHeight="1">
      <c r="C28" s="9"/>
      <c r="D28" s="9"/>
      <c r="E28" s="9"/>
      <c r="F28" s="9"/>
      <c r="H28" s="8"/>
    </row>
    <row r="29" spans="1:16" ht="19.5" customHeight="1">
      <c r="C29" s="97" t="str">
        <f ca="1">IFERROR(
    IF(F22="2a","Step 2a: Comparison based on dose-response data",
    IF(F22="2b","Step 2b: Comparison based on limit test data", "No formulation data available")),"")</f>
        <v>No formulation data available</v>
      </c>
      <c r="D29" s="8"/>
      <c r="E29" s="15"/>
      <c r="F29" s="8"/>
      <c r="G29" s="476" t="str">
        <f ca="1">IF(ISNUMBER(E32),
     IF(E32&gt;=0,"Formulation study shows lower/equal toxicity than predicted from the individual components.",
     IF(E32&lt;0,"Formulation study shows higher toxicity than predicted from the individual components. "&amp;
          IF(F22="2b","
* Consider whether the limit test indicates higher toxicity, or if this is an artefact caused by the test setup and dose-spacing.",""),"")),"")</f>
        <v/>
      </c>
      <c r="H29" s="8"/>
    </row>
    <row r="30" spans="1:16" ht="19.5" customHeight="1">
      <c r="C30" s="463" t="s">
        <v>82</v>
      </c>
      <c r="D30" s="463"/>
      <c r="E30" s="188" t="str">
        <f ca="1">IF(Step2&lt;&gt;"Passive",IFERROR(1/INDEX(Product[LD50mix],2),""),"")</f>
        <v/>
      </c>
      <c r="F30" s="8"/>
      <c r="G30" s="476"/>
      <c r="H30" s="8"/>
    </row>
    <row r="31" spans="1:16" ht="19.5" customHeight="1">
      <c r="C31" s="24" t="s">
        <v>83</v>
      </c>
      <c r="D31" s="20"/>
      <c r="E31" s="189" t="str">
        <f ca="1">IF(Step2&lt;&gt;"Passive",IFERROR(1/INDEX(Product[LD50form],2),""),"")</f>
        <v/>
      </c>
      <c r="F31" s="19"/>
      <c r="G31" s="476"/>
      <c r="H31" s="8"/>
      <c r="P31" s="128"/>
    </row>
    <row r="32" spans="1:16" ht="20.25" customHeight="1">
      <c r="C32" s="284" t="s">
        <v>84</v>
      </c>
      <c r="D32" s="163"/>
      <c r="E32" s="190" t="str">
        <f ca="1">IF(Step2&lt;&gt;"Passive",IFERROR(INDEX(Product[Acute meas-vs-pred],2),""),"")</f>
        <v/>
      </c>
      <c r="F32" s="19"/>
      <c r="G32" s="476"/>
      <c r="H32" s="8"/>
      <c r="P32" s="126"/>
    </row>
    <row r="33" spans="1:15" ht="19.5" customHeight="1">
      <c r="A33" s="397" t="str">
        <f ca="1">IF(AND(C33&lt;&gt;"",E33=""),"● ","")</f>
        <v/>
      </c>
      <c r="B33" s="131" t="str">
        <f ca="1">IF(AND(ISNUMBER(E32),E32&lt;0,F22="2b",COUNTA(E33)&lt;1),"●","")</f>
        <v/>
      </c>
      <c r="C33" s="191" t="str">
        <f ca="1">IFERROR(IF(AND(F22="2b",ISNUMBER(E32),E32&lt;0), "Include limit test data to the assessment? ",""),"")</f>
        <v/>
      </c>
      <c r="D33" s="163"/>
      <c r="E33" s="179"/>
      <c r="G33" s="476"/>
      <c r="H33" s="8"/>
    </row>
    <row r="34" spans="1:15" ht="19.5" customHeight="1">
      <c r="C34" s="8"/>
      <c r="D34" s="8"/>
      <c r="E34" s="8"/>
      <c r="F34" s="8"/>
      <c r="G34" s="476"/>
      <c r="L34" s="8"/>
    </row>
    <row r="35" spans="1:15" ht="19.5" customHeight="1">
      <c r="C35" s="95" t="s">
        <v>77</v>
      </c>
      <c r="D35" s="8"/>
      <c r="E35" s="8"/>
      <c r="F35" s="8"/>
    </row>
    <row r="36" spans="1:15" ht="27.75" customHeight="1">
      <c r="C36" s="494" t="str">
        <f ca="1">IF(Step2="Active",INDEX(Process[HowToProceed_Mammals],2),"")</f>
        <v/>
      </c>
      <c r="D36" s="495"/>
      <c r="E36" s="495"/>
      <c r="F36" s="186" t="s">
        <v>78</v>
      </c>
    </row>
    <row r="37" spans="1:15" ht="27.75" customHeight="1">
      <c r="C37" s="496"/>
      <c r="D37" s="497"/>
      <c r="E37" s="497"/>
      <c r="F37" s="187" t="str">
        <f ca="1">IF(Step2="Active",INDEX(Process[Next step (mammals)],2),"")</f>
        <v/>
      </c>
    </row>
    <row r="38" spans="1:15" ht="16.5" customHeight="1">
      <c r="C38" s="108"/>
      <c r="D38" s="108"/>
      <c r="E38" s="108"/>
      <c r="F38" s="108"/>
    </row>
    <row r="39" spans="1:15" ht="24" customHeight="1">
      <c r="A39" s="60"/>
      <c r="B39" s="392" t="str">
        <f ca="1">IF(Process!M7=TRUE,"Active","Passive")</f>
        <v>Passive</v>
      </c>
      <c r="C39" s="123" t="s">
        <v>85</v>
      </c>
      <c r="D39" s="122" t="s">
        <v>234</v>
      </c>
      <c r="E39" s="120"/>
      <c r="F39" s="120"/>
      <c r="G39" s="120"/>
      <c r="H39" s="120"/>
      <c r="I39" s="120"/>
      <c r="J39" s="120"/>
      <c r="K39" s="120"/>
      <c r="L39" s="120"/>
      <c r="M39" s="120"/>
      <c r="N39" s="121"/>
    </row>
    <row r="40" spans="1:15" ht="17.25" customHeight="1">
      <c r="C40" s="8"/>
      <c r="D40" s="8"/>
      <c r="E40" s="8"/>
      <c r="F40" s="8"/>
    </row>
    <row r="41" spans="1:15" ht="21" customHeight="1">
      <c r="C41" s="514" t="s">
        <v>235</v>
      </c>
      <c r="D41" s="514"/>
      <c r="E41" s="514"/>
      <c r="F41" s="514"/>
      <c r="G41" s="16"/>
      <c r="H41" s="16"/>
      <c r="J41" s="16"/>
      <c r="K41" s="16"/>
      <c r="L41" s="16"/>
    </row>
    <row r="42" spans="1:15">
      <c r="C42" s="514"/>
      <c r="D42" s="514"/>
      <c r="E42" s="514"/>
      <c r="F42" s="514"/>
      <c r="G42" s="16"/>
      <c r="H42" s="16"/>
      <c r="I42" s="16"/>
      <c r="J42" s="16"/>
      <c r="K42" s="16"/>
      <c r="L42" s="16"/>
    </row>
    <row r="43" spans="1:15" ht="12.75" customHeight="1">
      <c r="C43" s="514"/>
      <c r="D43" s="514"/>
      <c r="E43" s="514"/>
      <c r="F43" s="514"/>
      <c r="G43" s="16"/>
      <c r="H43" s="16"/>
      <c r="I43" s="16"/>
      <c r="J43" s="16"/>
      <c r="K43" s="16"/>
      <c r="L43" s="16"/>
    </row>
    <row r="44" spans="1:15" ht="15" customHeight="1">
      <c r="C44" s="477" t="s">
        <v>236</v>
      </c>
      <c r="D44" s="478"/>
      <c r="E44" s="478"/>
      <c r="F44" s="479"/>
      <c r="G44" s="30"/>
      <c r="H44" s="30"/>
      <c r="I44" s="30"/>
      <c r="J44" s="30"/>
      <c r="K44" s="30"/>
      <c r="L44" s="30"/>
    </row>
    <row r="45" spans="1:15" ht="15" customHeight="1">
      <c r="C45" s="480" t="s">
        <v>237</v>
      </c>
      <c r="D45" s="481"/>
      <c r="E45" s="481"/>
      <c r="F45" s="482"/>
      <c r="G45" s="31"/>
      <c r="H45" s="31"/>
      <c r="I45" s="31"/>
      <c r="J45" s="31"/>
      <c r="K45" s="31"/>
      <c r="L45" s="31"/>
    </row>
    <row r="46" spans="1:15" ht="24.75" customHeight="1">
      <c r="C46" s="41" t="s">
        <v>87</v>
      </c>
      <c r="D46" s="41" t="s">
        <v>88</v>
      </c>
      <c r="E46" s="220" t="s">
        <v>89</v>
      </c>
      <c r="F46" s="32"/>
      <c r="G46" s="32"/>
      <c r="H46" s="32"/>
      <c r="I46" s="32"/>
      <c r="J46" s="32"/>
      <c r="K46" s="32"/>
      <c r="L46" s="32"/>
    </row>
    <row r="47" spans="1:15" ht="14.25" customHeight="1">
      <c r="C47" s="219" t="str">
        <f ca="1">IFERROR(IF(Step4="Active",INDEX(Product[Used Acute endpoint type],2),""),"")</f>
        <v/>
      </c>
      <c r="D47" s="192" t="str">
        <f ca="1">IFERROR(IF(Step4="Active", INDEX(Product[Used Acute endpoint value],2),""),"")</f>
        <v/>
      </c>
      <c r="E47" s="96" t="s">
        <v>90</v>
      </c>
      <c r="F47" s="10"/>
      <c r="O47" s="8"/>
    </row>
    <row r="48" spans="1:15">
      <c r="A48" s="21"/>
      <c r="B48" s="21"/>
      <c r="G48" s="17"/>
      <c r="O48" s="8"/>
    </row>
    <row r="49" spans="1:16" ht="14.25" customHeight="1">
      <c r="A49" s="21"/>
      <c r="B49" s="21"/>
      <c r="C49" s="22"/>
      <c r="D49" s="23"/>
      <c r="E49" s="21"/>
      <c r="F49" s="21"/>
      <c r="G49" s="17"/>
      <c r="H49" s="17"/>
      <c r="I49" s="17"/>
      <c r="O49" s="8"/>
    </row>
    <row r="50" spans="1:16" ht="14.25" customHeight="1">
      <c r="A50" s="21"/>
      <c r="B50" s="21"/>
      <c r="C50" s="22"/>
      <c r="D50" s="23"/>
      <c r="E50" s="21"/>
      <c r="F50" s="21"/>
      <c r="G50" s="17"/>
      <c r="H50" s="17"/>
      <c r="I50" s="17"/>
      <c r="O50" s="8"/>
    </row>
    <row r="51" spans="1:16" ht="14.25" customHeight="1">
      <c r="A51" s="21"/>
      <c r="B51" s="21"/>
      <c r="C51" s="21"/>
      <c r="D51" s="23"/>
      <c r="E51" s="12"/>
      <c r="F51" s="29"/>
      <c r="G51" s="28"/>
      <c r="H51" s="17"/>
      <c r="O51" s="8"/>
    </row>
    <row r="52" spans="1:16" ht="14.25" customHeight="1">
      <c r="A52" s="21"/>
      <c r="B52" s="21"/>
      <c r="C52" s="22"/>
      <c r="D52" s="23"/>
      <c r="E52" s="21"/>
      <c r="G52" s="17"/>
      <c r="H52" s="17"/>
      <c r="I52" s="17"/>
      <c r="O52" s="8"/>
    </row>
    <row r="53" spans="1:16" ht="14.25" customHeight="1">
      <c r="A53" s="21"/>
      <c r="B53" s="21"/>
      <c r="C53" s="22"/>
      <c r="D53" s="23"/>
      <c r="E53" s="21"/>
      <c r="F53" s="21"/>
      <c r="G53" s="17"/>
      <c r="H53" s="17"/>
      <c r="I53" s="17"/>
      <c r="O53" s="8"/>
    </row>
    <row r="54" spans="1:16" ht="14.25" customHeight="1">
      <c r="A54" s="21"/>
      <c r="B54" s="21"/>
      <c r="D54" s="23"/>
      <c r="E54" s="21"/>
      <c r="F54" s="21"/>
      <c r="G54" s="17"/>
      <c r="H54" s="17"/>
      <c r="I54" s="17"/>
      <c r="O54" s="8"/>
    </row>
    <row r="55" spans="1:16" ht="14.25" customHeight="1">
      <c r="A55" s="21"/>
      <c r="B55" s="21"/>
      <c r="C55" s="21"/>
      <c r="D55" s="23"/>
      <c r="E55" s="21"/>
      <c r="F55" s="21"/>
      <c r="G55" s="17"/>
      <c r="H55" s="17"/>
      <c r="I55" s="17"/>
      <c r="O55" s="8"/>
    </row>
    <row r="56" spans="1:16" ht="14.25" customHeight="1">
      <c r="A56" s="21"/>
      <c r="B56" s="21"/>
      <c r="C56" s="22"/>
      <c r="D56" s="23"/>
      <c r="E56" s="21"/>
      <c r="F56" s="21"/>
      <c r="G56" s="17"/>
      <c r="H56" s="17"/>
      <c r="I56" s="17"/>
      <c r="O56" s="8"/>
    </row>
    <row r="57" spans="1:16" ht="14.25" customHeight="1">
      <c r="A57" s="21"/>
      <c r="B57" s="21"/>
      <c r="C57" s="22"/>
      <c r="D57" s="23"/>
      <c r="E57" s="21"/>
      <c r="F57" s="21"/>
      <c r="G57" s="17"/>
      <c r="H57" s="17"/>
      <c r="I57" s="17"/>
      <c r="O57" s="8"/>
    </row>
    <row r="58" spans="1:16" ht="14.25" customHeight="1">
      <c r="A58" s="21"/>
      <c r="B58" s="21"/>
      <c r="C58" s="22"/>
      <c r="D58" s="23"/>
      <c r="E58" s="21"/>
      <c r="F58" s="21"/>
      <c r="G58" s="17"/>
      <c r="H58" s="17"/>
      <c r="I58" s="17"/>
      <c r="O58" s="8"/>
    </row>
    <row r="59" spans="1:16" ht="14.25" customHeight="1">
      <c r="A59" s="21"/>
      <c r="B59" s="21"/>
      <c r="C59" s="22"/>
      <c r="D59" s="23"/>
      <c r="E59" s="21"/>
      <c r="F59" s="21"/>
      <c r="G59" s="17"/>
      <c r="H59" s="17"/>
      <c r="I59" s="17"/>
      <c r="O59" s="8"/>
    </row>
    <row r="60" spans="1:16" ht="19.5" customHeight="1">
      <c r="A60" s="21"/>
      <c r="B60" s="21"/>
      <c r="C60" s="22"/>
      <c r="D60" s="23"/>
      <c r="E60" s="21"/>
      <c r="F60" s="21"/>
      <c r="G60" s="17"/>
      <c r="H60" s="17"/>
      <c r="I60" s="17"/>
      <c r="O60" s="8"/>
    </row>
    <row r="61" spans="1:16" ht="12" customHeight="1">
      <c r="A61" s="21"/>
      <c r="B61" s="21"/>
      <c r="C61" s="22"/>
      <c r="D61" s="23"/>
      <c r="E61" s="21"/>
      <c r="F61" s="21"/>
      <c r="G61" s="17"/>
      <c r="H61" s="115"/>
      <c r="I61" s="115"/>
      <c r="O61" s="8"/>
    </row>
    <row r="62" spans="1:16" s="36" customFormat="1" ht="30.75" customHeight="1">
      <c r="A62" s="21"/>
      <c r="B62" s="21"/>
      <c r="C62" s="38" t="s">
        <v>91</v>
      </c>
      <c r="D62" s="38" t="s">
        <v>92</v>
      </c>
      <c r="E62" s="38" t="s">
        <v>93</v>
      </c>
      <c r="F62" s="39" t="s">
        <v>94</v>
      </c>
      <c r="G62" s="40" t="s">
        <v>95</v>
      </c>
      <c r="H62" s="40" t="s">
        <v>96</v>
      </c>
      <c r="I62" s="40" t="s">
        <v>97</v>
      </c>
      <c r="J62" s="45" t="s">
        <v>98</v>
      </c>
      <c r="K62" s="35"/>
      <c r="L62" s="35"/>
      <c r="P62" s="33"/>
    </row>
    <row r="63" spans="1:16" s="36" customFormat="1" ht="14.45" customHeight="1">
      <c r="A63" s="21"/>
      <c r="B63" s="195"/>
      <c r="C63" s="48" t="s">
        <v>99</v>
      </c>
      <c r="D63" s="48" t="s">
        <v>100</v>
      </c>
      <c r="E63" s="48" t="s">
        <v>238</v>
      </c>
      <c r="F63" s="50" t="s">
        <v>239</v>
      </c>
      <c r="G63" s="49">
        <v>14.3</v>
      </c>
      <c r="H6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63" s="394" t="str">
        <f ca="1">IF(AND(ISNUMBER($D$12),ISNUMBER(Table412[[#This Row],[DDD90 (mg/kg bw/d)]])),$D$47/Table412[[#This Row],[DDD90 (mg/kg bw/d)]],"")</f>
        <v/>
      </c>
      <c r="J63" s="33" t="str">
        <f ca="1">IF(ISNUMBER(Table412[[#This Row],[TERmix]]),"Input provided","No input")</f>
        <v>No input</v>
      </c>
      <c r="K63" s="33"/>
      <c r="L63" s="37"/>
      <c r="P63" s="33"/>
    </row>
    <row r="64" spans="1:16" s="36" customFormat="1" ht="14.45" customHeight="1">
      <c r="A64" s="21"/>
      <c r="B64" s="195"/>
      <c r="C64" s="48" t="s">
        <v>107</v>
      </c>
      <c r="D64" s="48" t="s">
        <v>240</v>
      </c>
      <c r="E64" s="48" t="s">
        <v>241</v>
      </c>
      <c r="F64" s="50" t="s">
        <v>242</v>
      </c>
      <c r="G64" s="49">
        <v>7.6</v>
      </c>
      <c r="H6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64" s="394" t="str">
        <f ca="1">IF(AND(ISNUMBER($D$12),ISNUMBER(Table412[[#This Row],[DDD90 (mg/kg bw/d)]])),$D$47/Table412[[#This Row],[DDD90 (mg/kg bw/d)]],"")</f>
        <v/>
      </c>
      <c r="J64" s="33" t="str">
        <f ca="1">IF(ISNUMBER(Table412[[#This Row],[TERmix]]),"Input provided","No input")</f>
        <v>No input</v>
      </c>
      <c r="K64" s="33"/>
      <c r="L64" s="37"/>
      <c r="P64" s="33"/>
    </row>
    <row r="65" spans="1:16" s="36" customFormat="1" ht="14.45" customHeight="1">
      <c r="A65" s="21"/>
      <c r="B65" s="195"/>
      <c r="C65" s="48" t="s">
        <v>107</v>
      </c>
      <c r="D65" s="48" t="s">
        <v>110</v>
      </c>
      <c r="E65" s="48" t="s">
        <v>238</v>
      </c>
      <c r="F65" s="50" t="s">
        <v>239</v>
      </c>
      <c r="G65" s="49">
        <v>17.2</v>
      </c>
      <c r="H6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65" s="394" t="str">
        <f ca="1">IF(AND(ISNUMBER($D$12),ISNUMBER(Table412[[#This Row],[DDD90 (mg/kg bw/d)]])),$D$47/Table412[[#This Row],[DDD90 (mg/kg bw/d)]],"")</f>
        <v/>
      </c>
      <c r="J65" s="33" t="str">
        <f ca="1">IF(ISNUMBER(Table412[[#This Row],[TERmix]]),"Input provided","No input")</f>
        <v>No input</v>
      </c>
      <c r="K65" s="33"/>
      <c r="L65" s="37"/>
      <c r="P65" s="33"/>
    </row>
    <row r="66" spans="1:16" s="36" customFormat="1" ht="14.45" customHeight="1">
      <c r="A66" s="21"/>
      <c r="B66" s="195"/>
      <c r="C66" s="48" t="s">
        <v>107</v>
      </c>
      <c r="D66" s="48" t="s">
        <v>111</v>
      </c>
      <c r="E66" s="48" t="s">
        <v>241</v>
      </c>
      <c r="F66" s="50" t="s">
        <v>242</v>
      </c>
      <c r="G66" s="49">
        <v>5.4</v>
      </c>
      <c r="H6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66" s="394" t="str">
        <f ca="1">IF(AND(ISNUMBER($D$12),ISNUMBER(Table412[[#This Row],[DDD90 (mg/kg bw/d)]])),$D$47/Table412[[#This Row],[DDD90 (mg/kg bw/d)]],"")</f>
        <v/>
      </c>
      <c r="J66" s="33" t="str">
        <f ca="1">IF(ISNUMBER(Table412[[#This Row],[TERmix]]),"Input provided","No input")</f>
        <v>No input</v>
      </c>
      <c r="K66" s="33"/>
      <c r="L66" s="37"/>
      <c r="P66" s="33"/>
    </row>
    <row r="67" spans="1:16" s="36" customFormat="1" ht="14.45" customHeight="1">
      <c r="A67" s="21"/>
      <c r="B67" s="195"/>
      <c r="C67" s="48" t="s">
        <v>107</v>
      </c>
      <c r="D67" s="48" t="s">
        <v>109</v>
      </c>
      <c r="E67" s="48" t="s">
        <v>243</v>
      </c>
      <c r="F67" s="50" t="s">
        <v>244</v>
      </c>
      <c r="G67" s="49">
        <v>81.900000000000006</v>
      </c>
      <c r="H6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67" s="394" t="str">
        <f ca="1">IF(AND(ISNUMBER($D$12),ISNUMBER(Table412[[#This Row],[DDD90 (mg/kg bw/d)]])),$D$47/Table412[[#This Row],[DDD90 (mg/kg bw/d)]],"")</f>
        <v/>
      </c>
      <c r="J67" s="33" t="str">
        <f ca="1">IF(ISNUMBER(Table412[[#This Row],[TERmix]]),"Input provided","No input")</f>
        <v>No input</v>
      </c>
      <c r="K67" s="33"/>
      <c r="L67" s="37"/>
      <c r="P67" s="33"/>
    </row>
    <row r="68" spans="1:16" s="36" customFormat="1" ht="14.45" customHeight="1">
      <c r="A68" s="21"/>
      <c r="B68" s="195"/>
      <c r="C68" s="48" t="s">
        <v>107</v>
      </c>
      <c r="D68" s="48" t="s">
        <v>109</v>
      </c>
      <c r="E68" s="48" t="s">
        <v>238</v>
      </c>
      <c r="F68" s="50" t="s">
        <v>239</v>
      </c>
      <c r="G68" s="49">
        <v>10.3</v>
      </c>
      <c r="H6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68" s="394" t="str">
        <f ca="1">IF(AND(ISNUMBER($D$12),ISNUMBER(Table412[[#This Row],[DDD90 (mg/kg bw/d)]])),$D$47/Table412[[#This Row],[DDD90 (mg/kg bw/d)]],"")</f>
        <v/>
      </c>
      <c r="J68" s="33" t="str">
        <f ca="1">IF(ISNUMBER(Table412[[#This Row],[TERmix]]),"Input provided","No input")</f>
        <v>No input</v>
      </c>
      <c r="K68" s="33"/>
      <c r="L68" s="37"/>
      <c r="P68" s="33"/>
    </row>
    <row r="69" spans="1:16" s="36" customFormat="1" ht="14.45" customHeight="1">
      <c r="A69" s="21"/>
      <c r="B69" s="291"/>
      <c r="C69" s="48" t="s">
        <v>112</v>
      </c>
      <c r="D69" s="48" t="s">
        <v>108</v>
      </c>
      <c r="E69" s="48" t="s">
        <v>241</v>
      </c>
      <c r="F69" s="50" t="s">
        <v>242</v>
      </c>
      <c r="G69" s="49">
        <v>7.6</v>
      </c>
      <c r="H6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69" s="394" t="str">
        <f ca="1">IF(AND(ISNUMBER($D$12),ISNUMBER(Table412[[#This Row],[DDD90 (mg/kg bw/d)]])),$D$47/Table412[[#This Row],[DDD90 (mg/kg bw/d)]],"")</f>
        <v/>
      </c>
      <c r="J69" s="33" t="str">
        <f ca="1">IF(ISNUMBER(Table412[[#This Row],[TERmix]]),"Input provided","No input")</f>
        <v>No input</v>
      </c>
      <c r="K69" s="33"/>
      <c r="L69" s="37"/>
      <c r="P69" s="33"/>
    </row>
    <row r="70" spans="1:16" s="36" customFormat="1" ht="14.45" customHeight="1">
      <c r="A70" s="21"/>
      <c r="B70" s="195"/>
      <c r="C70" s="48" t="s">
        <v>112</v>
      </c>
      <c r="D70" s="48" t="s">
        <v>111</v>
      </c>
      <c r="E70" s="48" t="s">
        <v>241</v>
      </c>
      <c r="F70" s="50" t="s">
        <v>242</v>
      </c>
      <c r="G70" s="49">
        <v>5.4</v>
      </c>
      <c r="H7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70" s="394" t="str">
        <f ca="1">IF(AND(ISNUMBER($D$12),ISNUMBER(Table412[[#This Row],[DDD90 (mg/kg bw/d)]])),$D$47/Table412[[#This Row],[DDD90 (mg/kg bw/d)]],"")</f>
        <v/>
      </c>
      <c r="J70" s="33" t="str">
        <f ca="1">IF(ISNUMBER(Table412[[#This Row],[TERmix]]),"Input provided","No input")</f>
        <v>No input</v>
      </c>
      <c r="K70" s="33"/>
      <c r="L70" s="37"/>
      <c r="P70" s="33"/>
    </row>
    <row r="71" spans="1:16" s="36" customFormat="1" ht="14.45" customHeight="1">
      <c r="A71" s="21"/>
      <c r="B71" s="195"/>
      <c r="C71" s="48" t="s">
        <v>112</v>
      </c>
      <c r="D71" s="48" t="s">
        <v>108</v>
      </c>
      <c r="E71" s="48" t="s">
        <v>243</v>
      </c>
      <c r="F71" s="50" t="s">
        <v>244</v>
      </c>
      <c r="G71" s="49">
        <v>81.900000000000006</v>
      </c>
      <c r="H7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71" s="394" t="str">
        <f ca="1">IF(AND(ISNUMBER($D$12),ISNUMBER(Table412[[#This Row],[DDD90 (mg/kg bw/d)]])),$D$47/Table412[[#This Row],[DDD90 (mg/kg bw/d)]],"")</f>
        <v/>
      </c>
      <c r="J71" s="33" t="str">
        <f ca="1">IF(ISNUMBER(Table412[[#This Row],[TERmix]]),"Input provided","No input")</f>
        <v>No input</v>
      </c>
      <c r="K71" s="33"/>
      <c r="L71" s="37"/>
      <c r="P71" s="33"/>
    </row>
    <row r="72" spans="1:16" s="36" customFormat="1" ht="14.45" customHeight="1">
      <c r="A72" s="21"/>
      <c r="B72" s="195"/>
      <c r="C72" s="48" t="s">
        <v>112</v>
      </c>
      <c r="D72" s="48" t="s">
        <v>146</v>
      </c>
      <c r="E72" s="48" t="s">
        <v>243</v>
      </c>
      <c r="F72" s="50" t="s">
        <v>244</v>
      </c>
      <c r="G72" s="49">
        <v>68.2</v>
      </c>
      <c r="H7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72" s="394" t="str">
        <f ca="1">IF(AND(ISNUMBER($D$12),ISNUMBER(Table412[[#This Row],[DDD90 (mg/kg bw/d)]])),$D$47/Table412[[#This Row],[DDD90 (mg/kg bw/d)]],"")</f>
        <v/>
      </c>
      <c r="J72" s="33" t="str">
        <f ca="1">IF(ISNUMBER(Table412[[#This Row],[TERmix]]),"Input provided","No input")</f>
        <v>No input</v>
      </c>
      <c r="K72" s="33"/>
      <c r="L72" s="37"/>
      <c r="O72" s="46"/>
      <c r="P72" s="33"/>
    </row>
    <row r="73" spans="1:16" s="36" customFormat="1" ht="14.45" customHeight="1">
      <c r="A73" s="21"/>
      <c r="B73" s="195"/>
      <c r="C73" s="48" t="s">
        <v>112</v>
      </c>
      <c r="D73" s="48" t="s">
        <v>109</v>
      </c>
      <c r="E73" s="48" t="s">
        <v>243</v>
      </c>
      <c r="F73" s="50" t="s">
        <v>244</v>
      </c>
      <c r="G73" s="49">
        <v>40.9</v>
      </c>
      <c r="H7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73" s="394" t="str">
        <f ca="1">IF(AND(ISNUMBER($D$12),ISNUMBER(Table412[[#This Row],[DDD90 (mg/kg bw/d)]])),$D$47/Table412[[#This Row],[DDD90 (mg/kg bw/d)]],"")</f>
        <v/>
      </c>
      <c r="J73" s="33" t="str">
        <f ca="1">IF(ISNUMBER(Table412[[#This Row],[TERmix]]),"Input provided","No input")</f>
        <v>No input</v>
      </c>
      <c r="K73" s="33"/>
      <c r="L73" s="37"/>
      <c r="P73" s="33"/>
    </row>
    <row r="74" spans="1:16" s="36" customFormat="1" ht="14.45" customHeight="1">
      <c r="A74" s="21"/>
      <c r="B74" s="195"/>
      <c r="C74" s="48" t="s">
        <v>112</v>
      </c>
      <c r="D74" s="48" t="s">
        <v>146</v>
      </c>
      <c r="E74" s="48" t="s">
        <v>238</v>
      </c>
      <c r="F74" s="50" t="s">
        <v>239</v>
      </c>
      <c r="G74" s="49">
        <v>8.6</v>
      </c>
      <c r="H7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74" s="394" t="str">
        <f ca="1">IF(AND(ISNUMBER($D$12),ISNUMBER(Table412[[#This Row],[DDD90 (mg/kg bw/d)]])),$D$47/Table412[[#This Row],[DDD90 (mg/kg bw/d)]],"")</f>
        <v/>
      </c>
      <c r="J74" s="33" t="str">
        <f ca="1">IF(ISNUMBER(Table412[[#This Row],[TERmix]]),"Input provided","No input")</f>
        <v>No input</v>
      </c>
      <c r="K74" s="33"/>
      <c r="L74" s="37"/>
      <c r="P74" s="33"/>
    </row>
    <row r="75" spans="1:16" s="36" customFormat="1" ht="14.45" customHeight="1">
      <c r="A75" s="21"/>
      <c r="B75" s="195"/>
      <c r="C75" s="48" t="s">
        <v>112</v>
      </c>
      <c r="D75" s="48" t="s">
        <v>108</v>
      </c>
      <c r="E75" s="48" t="s">
        <v>238</v>
      </c>
      <c r="F75" s="50" t="s">
        <v>239</v>
      </c>
      <c r="G75" s="49">
        <v>10.3</v>
      </c>
      <c r="H7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75" s="394" t="str">
        <f ca="1">IF(AND(ISNUMBER($D$12),ISNUMBER(Table412[[#This Row],[DDD90 (mg/kg bw/d)]])),$D$47/Table412[[#This Row],[DDD90 (mg/kg bw/d)]],"")</f>
        <v/>
      </c>
      <c r="J75" s="33" t="str">
        <f ca="1">IF(ISNUMBER(Table412[[#This Row],[TERmix]]),"Input provided","No input")</f>
        <v>No input</v>
      </c>
      <c r="K75" s="33"/>
      <c r="L75" s="37"/>
      <c r="P75" s="33"/>
    </row>
    <row r="76" spans="1:16" s="36" customFormat="1" ht="14.45" customHeight="1">
      <c r="A76" s="21"/>
      <c r="B76" s="195"/>
      <c r="C76" s="48" t="s">
        <v>112</v>
      </c>
      <c r="D76" s="48" t="s">
        <v>245</v>
      </c>
      <c r="E76" s="48" t="s">
        <v>246</v>
      </c>
      <c r="F76" s="50" t="s">
        <v>247</v>
      </c>
      <c r="G76" s="49">
        <v>19.399999999999999</v>
      </c>
      <c r="H7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76" s="394" t="str">
        <f ca="1">IF(AND(ISNUMBER($D$12),ISNUMBER(Table412[[#This Row],[DDD90 (mg/kg bw/d)]])),$D$47/Table412[[#This Row],[DDD90 (mg/kg bw/d)]],"")</f>
        <v/>
      </c>
      <c r="J76" s="33" t="str">
        <f ca="1">IF(ISNUMBER(Table412[[#This Row],[TERmix]]),"Input provided","No input")</f>
        <v>No input</v>
      </c>
      <c r="K76" s="33"/>
      <c r="L76" s="37"/>
      <c r="P76" s="33"/>
    </row>
    <row r="77" spans="1:16" s="36" customFormat="1" ht="14.45" customHeight="1">
      <c r="A77" s="21"/>
      <c r="B77" s="195"/>
      <c r="C77" s="48" t="s">
        <v>112</v>
      </c>
      <c r="D77" s="48" t="s">
        <v>109</v>
      </c>
      <c r="E77" s="48" t="s">
        <v>238</v>
      </c>
      <c r="F77" s="50" t="s">
        <v>239</v>
      </c>
      <c r="G77" s="49">
        <v>5.2</v>
      </c>
      <c r="H7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77" s="394" t="str">
        <f ca="1">IF(AND(ISNUMBER($D$12),ISNUMBER(Table412[[#This Row],[DDD90 (mg/kg bw/d)]])),$D$47/Table412[[#This Row],[DDD90 (mg/kg bw/d)]],"")</f>
        <v/>
      </c>
      <c r="J77" s="33" t="str">
        <f ca="1">IF(ISNUMBER(Table412[[#This Row],[TERmix]]),"Input provided","No input")</f>
        <v>No input</v>
      </c>
      <c r="K77" s="33"/>
      <c r="L77" s="37"/>
      <c r="P77" s="33"/>
    </row>
    <row r="78" spans="1:16" s="36" customFormat="1" ht="14.45" customHeight="1">
      <c r="A78" s="21"/>
      <c r="B78" s="195"/>
      <c r="C78" s="48" t="s">
        <v>118</v>
      </c>
      <c r="D78" s="48" t="s">
        <v>108</v>
      </c>
      <c r="E78" s="48" t="s">
        <v>241</v>
      </c>
      <c r="F78" s="50" t="s">
        <v>242</v>
      </c>
      <c r="G78" s="49">
        <v>7.6</v>
      </c>
      <c r="H7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78" s="394" t="str">
        <f ca="1">IF(AND(ISNUMBER($D$12),ISNUMBER(Table412[[#This Row],[DDD90 (mg/kg bw/d)]])),$D$47/Table412[[#This Row],[DDD90 (mg/kg bw/d)]],"")</f>
        <v/>
      </c>
      <c r="J78" s="33" t="str">
        <f ca="1">IF(ISNUMBER(Table412[[#This Row],[TERmix]]),"Input provided","No input")</f>
        <v>No input</v>
      </c>
      <c r="K78" s="33"/>
      <c r="L78" s="37"/>
      <c r="P78" s="33"/>
    </row>
    <row r="79" spans="1:16" s="36" customFormat="1" ht="14.45" customHeight="1">
      <c r="A79" s="21"/>
      <c r="B79" s="195"/>
      <c r="C79" s="48" t="s">
        <v>118</v>
      </c>
      <c r="D79" s="48" t="s">
        <v>111</v>
      </c>
      <c r="E79" s="48" t="s">
        <v>241</v>
      </c>
      <c r="F79" s="50" t="s">
        <v>242</v>
      </c>
      <c r="G79" s="49">
        <v>5.4</v>
      </c>
      <c r="H7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79" s="394" t="str">
        <f ca="1">IF(AND(ISNUMBER($D$12),ISNUMBER(Table412[[#This Row],[DDD90 (mg/kg bw/d)]])),$D$47/Table412[[#This Row],[DDD90 (mg/kg bw/d)]],"")</f>
        <v/>
      </c>
      <c r="J79" s="33" t="str">
        <f ca="1">IF(ISNUMBER(Table412[[#This Row],[TERmix]]),"Input provided","No input")</f>
        <v>No input</v>
      </c>
      <c r="K79" s="33"/>
      <c r="L79" s="37"/>
      <c r="P79" s="33"/>
    </row>
    <row r="80" spans="1:16" s="36" customFormat="1" ht="14.45" customHeight="1">
      <c r="A80" s="21"/>
      <c r="B80" s="195"/>
      <c r="C80" s="48" t="s">
        <v>118</v>
      </c>
      <c r="D80" s="48" t="s">
        <v>109</v>
      </c>
      <c r="E80" s="48" t="s">
        <v>243</v>
      </c>
      <c r="F80" s="50" t="s">
        <v>244</v>
      </c>
      <c r="G80" s="49">
        <v>40.9</v>
      </c>
      <c r="H8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80" s="394" t="str">
        <f ca="1">IF(AND(ISNUMBER($D$12),ISNUMBER(Table412[[#This Row],[DDD90 (mg/kg bw/d)]])),$D$47/Table412[[#This Row],[DDD90 (mg/kg bw/d)]],"")</f>
        <v/>
      </c>
      <c r="J80" s="33" t="str">
        <f ca="1">IF(ISNUMBER(Table412[[#This Row],[TERmix]]),"Input provided","No input")</f>
        <v>No input</v>
      </c>
      <c r="K80" s="33"/>
      <c r="L80" s="37"/>
      <c r="P80" s="33"/>
    </row>
    <row r="81" spans="1:16" s="36" customFormat="1" ht="14.45" customHeight="1">
      <c r="A81" s="21"/>
      <c r="B81" s="195"/>
      <c r="C81" s="48" t="s">
        <v>118</v>
      </c>
      <c r="D81" s="48" t="s">
        <v>248</v>
      </c>
      <c r="E81" s="48" t="s">
        <v>249</v>
      </c>
      <c r="F81" s="50" t="s">
        <v>250</v>
      </c>
      <c r="G81" s="49">
        <v>42.1</v>
      </c>
      <c r="H8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81" s="394" t="str">
        <f ca="1">IF(AND(ISNUMBER($D$12),ISNUMBER(Table412[[#This Row],[DDD90 (mg/kg bw/d)]])),$D$47/Table412[[#This Row],[DDD90 (mg/kg bw/d)]],"")</f>
        <v/>
      </c>
      <c r="J81" s="33" t="str">
        <f ca="1">IF(ISNUMBER(Table412[[#This Row],[TERmix]]),"Input provided","No input")</f>
        <v>No input</v>
      </c>
      <c r="K81" s="33"/>
      <c r="L81" s="37"/>
      <c r="P81" s="33"/>
    </row>
    <row r="82" spans="1:16" s="36" customFormat="1" ht="14.25" customHeight="1">
      <c r="A82" s="21"/>
      <c r="B82" s="195"/>
      <c r="C82" s="48" t="s">
        <v>118</v>
      </c>
      <c r="D82" s="48" t="s">
        <v>119</v>
      </c>
      <c r="E82" s="48" t="s">
        <v>238</v>
      </c>
      <c r="F82" s="50" t="s">
        <v>239</v>
      </c>
      <c r="G82" s="49">
        <v>17.2</v>
      </c>
      <c r="H8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82" s="394" t="str">
        <f ca="1">IF(AND(ISNUMBER($D$12),ISNUMBER(Table412[[#This Row],[DDD90 (mg/kg bw/d)]])),$D$47/Table412[[#This Row],[DDD90 (mg/kg bw/d)]],"")</f>
        <v/>
      </c>
      <c r="J82" s="33" t="str">
        <f ca="1">IF(ISNUMBER(Table412[[#This Row],[TERmix]]),"Input provided","No input")</f>
        <v>No input</v>
      </c>
      <c r="K82" s="33"/>
      <c r="L82" s="37"/>
      <c r="P82" s="33"/>
    </row>
    <row r="83" spans="1:16" s="36" customFormat="1" ht="14.45" customHeight="1">
      <c r="A83" s="21"/>
      <c r="B83" s="195"/>
      <c r="C83" s="48" t="s">
        <v>118</v>
      </c>
      <c r="D83" s="48" t="s">
        <v>123</v>
      </c>
      <c r="E83" s="48" t="s">
        <v>238</v>
      </c>
      <c r="F83" s="50" t="s">
        <v>239</v>
      </c>
      <c r="G83" s="49">
        <v>8.6</v>
      </c>
      <c r="H8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83" s="394" t="str">
        <f ca="1">IF(AND(ISNUMBER($D$12),ISNUMBER(Table412[[#This Row],[DDD90 (mg/kg bw/d)]])),$D$47/Table412[[#This Row],[DDD90 (mg/kg bw/d)]],"")</f>
        <v/>
      </c>
      <c r="J83" s="33" t="str">
        <f ca="1">IF(ISNUMBER(Table412[[#This Row],[TERmix]]),"Input provided","No input")</f>
        <v>No input</v>
      </c>
      <c r="K83" s="33"/>
      <c r="L83" s="37"/>
      <c r="P83" s="33"/>
    </row>
    <row r="84" spans="1:16" s="36" customFormat="1" ht="14.45" customHeight="1">
      <c r="A84" s="21"/>
      <c r="B84" s="195"/>
      <c r="C84" s="48" t="s">
        <v>118</v>
      </c>
      <c r="D84" s="48" t="s">
        <v>109</v>
      </c>
      <c r="E84" s="48" t="s">
        <v>238</v>
      </c>
      <c r="F84" s="50" t="s">
        <v>239</v>
      </c>
      <c r="G84" s="49">
        <v>5.2</v>
      </c>
      <c r="H8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84" s="394" t="str">
        <f ca="1">IF(AND(ISNUMBER($D$12),ISNUMBER(Table412[[#This Row],[DDD90 (mg/kg bw/d)]])),$D$47/Table412[[#This Row],[DDD90 (mg/kg bw/d)]],"")</f>
        <v/>
      </c>
      <c r="J84" s="33" t="str">
        <f ca="1">IF(ISNUMBER(Table412[[#This Row],[TERmix]]),"Input provided","No input")</f>
        <v>No input</v>
      </c>
      <c r="K84" s="33"/>
      <c r="L84" s="37"/>
      <c r="P84" s="33"/>
    </row>
    <row r="85" spans="1:16" s="36" customFormat="1" ht="14.45" customHeight="1">
      <c r="A85" s="21"/>
      <c r="B85" s="195"/>
      <c r="C85" s="48" t="s">
        <v>129</v>
      </c>
      <c r="D85" s="48" t="s">
        <v>108</v>
      </c>
      <c r="E85" s="48" t="s">
        <v>241</v>
      </c>
      <c r="F85" s="50" t="s">
        <v>242</v>
      </c>
      <c r="G85" s="49">
        <v>7.6</v>
      </c>
      <c r="H8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85" s="394" t="str">
        <f ca="1">IF(AND(ISNUMBER($D$12),ISNUMBER(Table412[[#This Row],[DDD90 (mg/kg bw/d)]])),$D$47/Table412[[#This Row],[DDD90 (mg/kg bw/d)]],"")</f>
        <v/>
      </c>
      <c r="J85" s="33" t="str">
        <f ca="1">IF(ISNUMBER(Table412[[#This Row],[TERmix]]),"Input provided","No input")</f>
        <v>No input</v>
      </c>
      <c r="K85" s="33"/>
      <c r="L85" s="37"/>
      <c r="P85" s="33"/>
    </row>
    <row r="86" spans="1:16" s="36" customFormat="1" ht="14.45" customHeight="1">
      <c r="A86" s="21"/>
      <c r="B86" s="195"/>
      <c r="C86" s="48" t="s">
        <v>129</v>
      </c>
      <c r="D86" s="48" t="s">
        <v>111</v>
      </c>
      <c r="E86" s="48" t="s">
        <v>241</v>
      </c>
      <c r="F86" s="50" t="s">
        <v>242</v>
      </c>
      <c r="G86" s="49">
        <v>5.4</v>
      </c>
      <c r="H8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86" s="394" t="str">
        <f ca="1">IF(AND(ISNUMBER($D$12),ISNUMBER(Table412[[#This Row],[DDD90 (mg/kg bw/d)]])),$D$47/Table412[[#This Row],[DDD90 (mg/kg bw/d)]],"")</f>
        <v/>
      </c>
      <c r="J86" s="33" t="str">
        <f ca="1">IF(ISNUMBER(Table412[[#This Row],[TERmix]]),"Input provided","No input")</f>
        <v>No input</v>
      </c>
      <c r="K86" s="33"/>
      <c r="L86" s="37"/>
      <c r="P86" s="33"/>
    </row>
    <row r="87" spans="1:16" s="36" customFormat="1" ht="14.45" customHeight="1">
      <c r="A87" s="21"/>
      <c r="B87" s="195"/>
      <c r="C87" s="48" t="s">
        <v>129</v>
      </c>
      <c r="D87" s="48" t="s">
        <v>251</v>
      </c>
      <c r="E87" s="48" t="s">
        <v>243</v>
      </c>
      <c r="F87" s="50" t="s">
        <v>244</v>
      </c>
      <c r="G87" s="49">
        <v>136.4</v>
      </c>
      <c r="H8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87" s="394" t="str">
        <f ca="1">IF(AND(ISNUMBER($D$12),ISNUMBER(Table412[[#This Row],[DDD90 (mg/kg bw/d)]])),$D$47/Table412[[#This Row],[DDD90 (mg/kg bw/d)]],"")</f>
        <v/>
      </c>
      <c r="J87" s="33" t="str">
        <f ca="1">IF(ISNUMBER(Table412[[#This Row],[TERmix]]),"Input provided","No input")</f>
        <v>No input</v>
      </c>
      <c r="K87" s="33"/>
      <c r="L87" s="37"/>
      <c r="P87" s="33"/>
    </row>
    <row r="88" spans="1:16" s="36" customFormat="1" ht="14.45" customHeight="1">
      <c r="A88" s="21"/>
      <c r="B88" s="195"/>
      <c r="C88" s="48" t="s">
        <v>129</v>
      </c>
      <c r="D88" s="48" t="s">
        <v>134</v>
      </c>
      <c r="E88" s="48" t="s">
        <v>243</v>
      </c>
      <c r="F88" s="50" t="s">
        <v>244</v>
      </c>
      <c r="G88" s="49">
        <v>34.1</v>
      </c>
      <c r="H8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88" s="394" t="str">
        <f ca="1">IF(AND(ISNUMBER($D$12),ISNUMBER(Table412[[#This Row],[DDD90 (mg/kg bw/d)]])),$D$47/Table412[[#This Row],[DDD90 (mg/kg bw/d)]],"")</f>
        <v/>
      </c>
      <c r="J88" s="33" t="str">
        <f ca="1">IF(ISNUMBER(Table412[[#This Row],[TERmix]]),"Input provided","No input")</f>
        <v>No input</v>
      </c>
      <c r="K88" s="33"/>
      <c r="L88" s="37"/>
      <c r="P88" s="33"/>
    </row>
    <row r="89" spans="1:16" s="36" customFormat="1" ht="14.45" customHeight="1">
      <c r="A89" s="21"/>
      <c r="B89" s="195"/>
      <c r="C89" s="48" t="s">
        <v>129</v>
      </c>
      <c r="D89" s="48" t="s">
        <v>132</v>
      </c>
      <c r="E89" s="48" t="s">
        <v>238</v>
      </c>
      <c r="F89" s="50" t="s">
        <v>239</v>
      </c>
      <c r="G89" s="49">
        <v>17.2</v>
      </c>
      <c r="H8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89" s="394" t="str">
        <f ca="1">IF(AND(ISNUMBER($D$12),ISNUMBER(Table412[[#This Row],[DDD90 (mg/kg bw/d)]])),$D$47/Table412[[#This Row],[DDD90 (mg/kg bw/d)]],"")</f>
        <v/>
      </c>
      <c r="J89" s="33" t="str">
        <f ca="1">IF(ISNUMBER(Table412[[#This Row],[TERmix]]),"Input provided","No input")</f>
        <v>No input</v>
      </c>
      <c r="K89" s="33"/>
      <c r="L89" s="37"/>
      <c r="P89" s="33"/>
    </row>
    <row r="90" spans="1:16" s="36" customFormat="1" ht="14.45" customHeight="1">
      <c r="A90" s="21"/>
      <c r="B90" s="195"/>
      <c r="C90" s="48" t="s">
        <v>129</v>
      </c>
      <c r="D90" s="48" t="s">
        <v>134</v>
      </c>
      <c r="E90" s="48" t="s">
        <v>238</v>
      </c>
      <c r="F90" s="50" t="s">
        <v>239</v>
      </c>
      <c r="G90" s="49">
        <v>4.3</v>
      </c>
      <c r="H9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90" s="394" t="str">
        <f ca="1">IF(AND(ISNUMBER($D$12),ISNUMBER(Table412[[#This Row],[DDD90 (mg/kg bw/d)]])),$D$47/Table412[[#This Row],[DDD90 (mg/kg bw/d)]],"")</f>
        <v/>
      </c>
      <c r="J90" s="33" t="str">
        <f ca="1">IF(ISNUMBER(Table412[[#This Row],[TERmix]]),"Input provided","No input")</f>
        <v>No input</v>
      </c>
      <c r="K90" s="33"/>
      <c r="L90" s="37"/>
      <c r="P90" s="33"/>
    </row>
    <row r="91" spans="1:16" s="36" customFormat="1" ht="14.45" customHeight="1">
      <c r="A91" s="21"/>
      <c r="B91" s="195"/>
      <c r="C91" s="48" t="s">
        <v>135</v>
      </c>
      <c r="D91" s="48" t="s">
        <v>108</v>
      </c>
      <c r="E91" s="48" t="s">
        <v>241</v>
      </c>
      <c r="F91" s="50" t="s">
        <v>242</v>
      </c>
      <c r="G91" s="49">
        <v>7.6</v>
      </c>
      <c r="H9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91" s="394" t="str">
        <f ca="1">IF(AND(ISNUMBER($D$12),ISNUMBER(Table412[[#This Row],[DDD90 (mg/kg bw/d)]])),$D$47/Table412[[#This Row],[DDD90 (mg/kg bw/d)]],"")</f>
        <v/>
      </c>
      <c r="J91" s="33" t="str">
        <f ca="1">IF(ISNUMBER(Table412[[#This Row],[TERmix]]),"Input provided","No input")</f>
        <v>No input</v>
      </c>
      <c r="K91" s="33"/>
      <c r="L91" s="37"/>
      <c r="P91" s="33"/>
    </row>
    <row r="92" spans="1:16" s="36" customFormat="1" ht="14.45" customHeight="1">
      <c r="A92" s="21"/>
      <c r="B92" s="195"/>
      <c r="C92" s="48" t="s">
        <v>135</v>
      </c>
      <c r="D92" s="48" t="s">
        <v>132</v>
      </c>
      <c r="E92" s="48" t="s">
        <v>243</v>
      </c>
      <c r="F92" s="50" t="s">
        <v>244</v>
      </c>
      <c r="G92" s="49">
        <v>136.4</v>
      </c>
      <c r="H9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92" s="394" t="str">
        <f ca="1">IF(AND(ISNUMBER($D$12),ISNUMBER(Table412[[#This Row],[DDD90 (mg/kg bw/d)]])),$D$47/Table412[[#This Row],[DDD90 (mg/kg bw/d)]],"")</f>
        <v/>
      </c>
      <c r="J92" s="33" t="str">
        <f ca="1">IF(ISNUMBER(Table412[[#This Row],[TERmix]]),"Input provided","No input")</f>
        <v>No input</v>
      </c>
      <c r="K92" s="33"/>
      <c r="L92" s="37"/>
      <c r="P92" s="33"/>
    </row>
    <row r="93" spans="1:16" s="36" customFormat="1" ht="14.45" customHeight="1">
      <c r="A93" s="21"/>
      <c r="B93" s="195"/>
      <c r="C93" s="48" t="s">
        <v>135</v>
      </c>
      <c r="D93" s="48" t="s">
        <v>111</v>
      </c>
      <c r="E93" s="48" t="s">
        <v>241</v>
      </c>
      <c r="F93" s="50" t="s">
        <v>242</v>
      </c>
      <c r="G93" s="49">
        <v>5.4</v>
      </c>
      <c r="H9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93" s="394" t="str">
        <f ca="1">IF(AND(ISNUMBER($D$12),ISNUMBER(Table412[[#This Row],[DDD90 (mg/kg bw/d)]])),$D$47/Table412[[#This Row],[DDD90 (mg/kg bw/d)]],"")</f>
        <v/>
      </c>
      <c r="J93" s="33" t="str">
        <f ca="1">IF(ISNUMBER(Table412[[#This Row],[TERmix]]),"Input provided","No input")</f>
        <v>No input</v>
      </c>
      <c r="K93" s="33"/>
      <c r="L93" s="37"/>
      <c r="P93" s="33"/>
    </row>
    <row r="94" spans="1:16" s="36" customFormat="1" ht="14.45" customHeight="1">
      <c r="A94" s="21"/>
      <c r="B94" s="195"/>
      <c r="C94" s="48" t="s">
        <v>135</v>
      </c>
      <c r="D94" s="48" t="s">
        <v>132</v>
      </c>
      <c r="E94" s="48" t="s">
        <v>238</v>
      </c>
      <c r="F94" s="50" t="s">
        <v>239</v>
      </c>
      <c r="G94" s="49">
        <v>17.2</v>
      </c>
      <c r="H9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94" s="394" t="str">
        <f ca="1">IF(AND(ISNUMBER($D$12),ISNUMBER(Table412[[#This Row],[DDD90 (mg/kg bw/d)]])),$D$47/Table412[[#This Row],[DDD90 (mg/kg bw/d)]],"")</f>
        <v/>
      </c>
      <c r="J94" s="33" t="str">
        <f ca="1">IF(ISNUMBER(Table412[[#This Row],[TERmix]]),"Input provided","No input")</f>
        <v>No input</v>
      </c>
      <c r="K94" s="33"/>
      <c r="L94" s="37"/>
      <c r="P94" s="33"/>
    </row>
    <row r="95" spans="1:16" s="36" customFormat="1" ht="14.45" customHeight="1">
      <c r="A95" s="21"/>
      <c r="B95" s="195"/>
      <c r="C95" s="48" t="s">
        <v>135</v>
      </c>
      <c r="D95" s="48" t="s">
        <v>134</v>
      </c>
      <c r="E95" s="48" t="s">
        <v>243</v>
      </c>
      <c r="F95" s="50" t="s">
        <v>244</v>
      </c>
      <c r="G95" s="49">
        <v>40.9</v>
      </c>
      <c r="H9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95" s="394" t="str">
        <f ca="1">IF(AND(ISNUMBER($D$12),ISNUMBER(Table412[[#This Row],[DDD90 (mg/kg bw/d)]])),$D$47/Table412[[#This Row],[DDD90 (mg/kg bw/d)]],"")</f>
        <v/>
      </c>
      <c r="J95" s="33" t="str">
        <f ca="1">IF(ISNUMBER(Table412[[#This Row],[TERmix]]),"Input provided","No input")</f>
        <v>No input</v>
      </c>
      <c r="K95" s="33"/>
      <c r="L95" s="37"/>
      <c r="P95" s="33"/>
    </row>
    <row r="96" spans="1:16" s="36" customFormat="1" ht="14.45" customHeight="1">
      <c r="A96" s="21"/>
      <c r="B96" s="195"/>
      <c r="C96" s="48" t="s">
        <v>135</v>
      </c>
      <c r="D96" s="48" t="s">
        <v>134</v>
      </c>
      <c r="E96" s="48" t="s">
        <v>238</v>
      </c>
      <c r="F96" s="50" t="s">
        <v>239</v>
      </c>
      <c r="G96" s="49">
        <v>5.2</v>
      </c>
      <c r="H9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96" s="394" t="str">
        <f ca="1">IF(AND(ISNUMBER($D$12),ISNUMBER(Table412[[#This Row],[DDD90 (mg/kg bw/d)]])),$D$47/Table412[[#This Row],[DDD90 (mg/kg bw/d)]],"")</f>
        <v/>
      </c>
      <c r="J96" s="33" t="str">
        <f ca="1">IF(ISNUMBER(Table412[[#This Row],[TERmix]]),"Input provided","No input")</f>
        <v>No input</v>
      </c>
      <c r="K96" s="33"/>
      <c r="L96" s="37"/>
      <c r="P96" s="33"/>
    </row>
    <row r="97" spans="1:16" s="36" customFormat="1" ht="14.45" customHeight="1">
      <c r="A97" s="21"/>
      <c r="B97" s="195"/>
      <c r="C97" s="48" t="s">
        <v>135</v>
      </c>
      <c r="D97" s="48" t="s">
        <v>252</v>
      </c>
      <c r="E97" s="48" t="s">
        <v>246</v>
      </c>
      <c r="F97" s="50" t="s">
        <v>253</v>
      </c>
      <c r="G97" s="49">
        <v>45.2</v>
      </c>
      <c r="H9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97" s="394" t="str">
        <f ca="1">IF(AND(ISNUMBER($D$12),ISNUMBER(Table412[[#This Row],[DDD90 (mg/kg bw/d)]])),$D$47/Table412[[#This Row],[DDD90 (mg/kg bw/d)]],"")</f>
        <v/>
      </c>
      <c r="J97" s="33" t="str">
        <f ca="1">IF(ISNUMBER(Table412[[#This Row],[TERmix]]),"Input provided","No input")</f>
        <v>No input</v>
      </c>
      <c r="K97" s="33"/>
      <c r="L97" s="37"/>
      <c r="P97" s="33"/>
    </row>
    <row r="98" spans="1:16" s="36" customFormat="1" ht="14.45" customHeight="1">
      <c r="A98" s="21"/>
      <c r="B98" s="195"/>
      <c r="C98" s="48" t="s">
        <v>139</v>
      </c>
      <c r="D98" s="48" t="s">
        <v>254</v>
      </c>
      <c r="E98" s="48" t="s">
        <v>249</v>
      </c>
      <c r="F98" s="50" t="s">
        <v>255</v>
      </c>
      <c r="G98" s="49">
        <v>32.6</v>
      </c>
      <c r="H9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98" s="394" t="str">
        <f ca="1">IF(AND(ISNUMBER($D$12),ISNUMBER(Table412[[#This Row],[DDD90 (mg/kg bw/d)]])),$D$47/Table412[[#This Row],[DDD90 (mg/kg bw/d)]],"")</f>
        <v/>
      </c>
      <c r="J98" s="33" t="str">
        <f ca="1">IF(ISNUMBER(Table412[[#This Row],[TERmix]]),"Input provided","No input")</f>
        <v>No input</v>
      </c>
      <c r="K98" s="33"/>
      <c r="L98" s="37"/>
      <c r="P98" s="33"/>
    </row>
    <row r="99" spans="1:16" s="36" customFormat="1" ht="14.45" customHeight="1">
      <c r="A99" s="21"/>
      <c r="B99" s="195"/>
      <c r="C99" s="48" t="s">
        <v>139</v>
      </c>
      <c r="D99" s="48" t="s">
        <v>256</v>
      </c>
      <c r="E99" s="48" t="s">
        <v>241</v>
      </c>
      <c r="F99" s="50" t="s">
        <v>242</v>
      </c>
      <c r="G99" s="49">
        <v>5.4</v>
      </c>
      <c r="H9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99" s="394" t="str">
        <f ca="1">IF(AND(ISNUMBER($D$12),ISNUMBER(Table412[[#This Row],[DDD90 (mg/kg bw/d)]])),$D$47/Table412[[#This Row],[DDD90 (mg/kg bw/d)]],"")</f>
        <v/>
      </c>
      <c r="J99" s="33" t="str">
        <f ca="1">IF(ISNUMBER(Table412[[#This Row],[TERmix]]),"Input provided","No input")</f>
        <v>No input</v>
      </c>
      <c r="K99" s="33"/>
      <c r="L99" s="37"/>
      <c r="P99" s="33"/>
    </row>
    <row r="100" spans="1:16" s="36" customFormat="1" ht="14.45" customHeight="1">
      <c r="A100" s="21"/>
      <c r="B100" s="195"/>
      <c r="C100" s="48" t="s">
        <v>139</v>
      </c>
      <c r="D100" s="48" t="s">
        <v>254</v>
      </c>
      <c r="E100" s="48" t="s">
        <v>243</v>
      </c>
      <c r="F100" s="50" t="s">
        <v>244</v>
      </c>
      <c r="G100" s="49">
        <v>136.4</v>
      </c>
      <c r="H10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00" s="394" t="str">
        <f ca="1">IF(AND(ISNUMBER($D$12),ISNUMBER(Table412[[#This Row],[DDD90 (mg/kg bw/d)]])),$D$47/Table412[[#This Row],[DDD90 (mg/kg bw/d)]],"")</f>
        <v/>
      </c>
      <c r="J100" s="33" t="str">
        <f ca="1">IF(ISNUMBER(Table412[[#This Row],[TERmix]]),"Input provided","No input")</f>
        <v>No input</v>
      </c>
      <c r="K100" s="33"/>
      <c r="L100" s="37"/>
      <c r="P100" s="33"/>
    </row>
    <row r="101" spans="1:16" s="36" customFormat="1" ht="14.45" customHeight="1">
      <c r="A101" s="21"/>
      <c r="B101" s="195"/>
      <c r="C101" s="48" t="s">
        <v>139</v>
      </c>
      <c r="D101" s="48" t="s">
        <v>142</v>
      </c>
      <c r="E101" s="48" t="s">
        <v>238</v>
      </c>
      <c r="F101" s="50" t="s">
        <v>239</v>
      </c>
      <c r="G101" s="49">
        <v>14.4</v>
      </c>
      <c r="H10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01" s="394" t="str">
        <f ca="1">IF(AND(ISNUMBER($D$12),ISNUMBER(Table412[[#This Row],[DDD90 (mg/kg bw/d)]])),$D$47/Table412[[#This Row],[DDD90 (mg/kg bw/d)]],"")</f>
        <v/>
      </c>
      <c r="J101" s="33" t="str">
        <f ca="1">IF(ISNUMBER(Table412[[#This Row],[TERmix]]),"Input provided","No input")</f>
        <v>No input</v>
      </c>
      <c r="K101" s="33"/>
      <c r="L101" s="37"/>
      <c r="P101" s="33"/>
    </row>
    <row r="102" spans="1:16" s="36" customFormat="1" ht="14.45" customHeight="1">
      <c r="A102" s="21"/>
      <c r="B102" s="195"/>
      <c r="C102" s="48" t="s">
        <v>139</v>
      </c>
      <c r="D102" s="48" t="s">
        <v>140</v>
      </c>
      <c r="E102" s="48" t="s">
        <v>238</v>
      </c>
      <c r="F102" s="50" t="s">
        <v>239</v>
      </c>
      <c r="G102" s="49">
        <v>14.4</v>
      </c>
      <c r="H10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02" s="394" t="str">
        <f ca="1">IF(AND(ISNUMBER($D$12),ISNUMBER(Table412[[#This Row],[DDD90 (mg/kg bw/d)]])),$D$47/Table412[[#This Row],[DDD90 (mg/kg bw/d)]],"")</f>
        <v/>
      </c>
      <c r="J102" s="33" t="str">
        <f ca="1">IF(ISNUMBER(Table412[[#This Row],[TERmix]]),"Input provided","No input")</f>
        <v>No input</v>
      </c>
      <c r="K102" s="33"/>
      <c r="L102" s="37"/>
      <c r="P102" s="33"/>
    </row>
    <row r="103" spans="1:16" s="36" customFormat="1" ht="14.45" customHeight="1">
      <c r="A103" s="21"/>
      <c r="B103" s="195"/>
      <c r="C103" s="48" t="s">
        <v>143</v>
      </c>
      <c r="D103" s="48" t="s">
        <v>108</v>
      </c>
      <c r="E103" s="48" t="s">
        <v>241</v>
      </c>
      <c r="F103" s="50" t="s">
        <v>242</v>
      </c>
      <c r="G103" s="49">
        <v>7.6</v>
      </c>
      <c r="H10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03" s="394" t="str">
        <f ca="1">IF(AND(ISNUMBER($D$12),ISNUMBER(Table412[[#This Row],[DDD90 (mg/kg bw/d)]])),$D$47/Table412[[#This Row],[DDD90 (mg/kg bw/d)]],"")</f>
        <v/>
      </c>
      <c r="J103" s="33" t="str">
        <f ca="1">IF(ISNUMBER(Table412[[#This Row],[TERmix]]),"Input provided","No input")</f>
        <v>No input</v>
      </c>
      <c r="K103" s="33"/>
      <c r="L103" s="37"/>
      <c r="P103" s="33"/>
    </row>
    <row r="104" spans="1:16" s="36" customFormat="1" ht="14.45" customHeight="1">
      <c r="A104" s="21"/>
      <c r="B104" s="195"/>
      <c r="C104" s="48" t="s">
        <v>143</v>
      </c>
      <c r="D104" s="48" t="s">
        <v>111</v>
      </c>
      <c r="E104" s="48" t="s">
        <v>241</v>
      </c>
      <c r="F104" s="50" t="s">
        <v>242</v>
      </c>
      <c r="G104" s="49">
        <v>5.4</v>
      </c>
      <c r="H10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04" s="394" t="str">
        <f ca="1">IF(AND(ISNUMBER($D$12),ISNUMBER(Table412[[#This Row],[DDD90 (mg/kg bw/d)]])),$D$47/Table412[[#This Row],[DDD90 (mg/kg bw/d)]],"")</f>
        <v/>
      </c>
      <c r="J104" s="33" t="str">
        <f ca="1">IF(ISNUMBER(Table412[[#This Row],[TERmix]]),"Input provided","No input")</f>
        <v>No input</v>
      </c>
      <c r="K104" s="33"/>
      <c r="L104" s="37"/>
      <c r="P104" s="33"/>
    </row>
    <row r="105" spans="1:16" s="36" customFormat="1" ht="14.45" customHeight="1">
      <c r="A105" s="21"/>
      <c r="B105" s="195"/>
      <c r="C105" s="48" t="s">
        <v>143</v>
      </c>
      <c r="D105" s="48" t="s">
        <v>146</v>
      </c>
      <c r="E105" s="48" t="s">
        <v>238</v>
      </c>
      <c r="F105" s="50" t="s">
        <v>239</v>
      </c>
      <c r="G105" s="49">
        <v>8.6</v>
      </c>
      <c r="H10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05" s="394" t="str">
        <f ca="1">IF(AND(ISNUMBER($D$12),ISNUMBER(Table412[[#This Row],[DDD90 (mg/kg bw/d)]])),$D$47/Table412[[#This Row],[DDD90 (mg/kg bw/d)]],"")</f>
        <v/>
      </c>
      <c r="J105" s="33" t="str">
        <f ca="1">IF(ISNUMBER(Table412[[#This Row],[TERmix]]),"Input provided","No input")</f>
        <v>No input</v>
      </c>
      <c r="K105" s="33"/>
      <c r="L105" s="37"/>
      <c r="P105" s="33"/>
    </row>
    <row r="106" spans="1:16" s="36" customFormat="1" ht="14.45" customHeight="1">
      <c r="A106" s="21"/>
      <c r="B106" s="195"/>
      <c r="C106" s="48" t="s">
        <v>143</v>
      </c>
      <c r="D106" s="48" t="s">
        <v>108</v>
      </c>
      <c r="E106" s="48" t="s">
        <v>238</v>
      </c>
      <c r="F106" s="50" t="s">
        <v>239</v>
      </c>
      <c r="G106" s="49">
        <v>17.2</v>
      </c>
      <c r="H10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06" s="394" t="str">
        <f ca="1">IF(AND(ISNUMBER($D$12),ISNUMBER(Table412[[#This Row],[DDD90 (mg/kg bw/d)]])),$D$47/Table412[[#This Row],[DDD90 (mg/kg bw/d)]],"")</f>
        <v/>
      </c>
      <c r="J106" s="33" t="str">
        <f ca="1">IF(ISNUMBER(Table412[[#This Row],[TERmix]]),"Input provided","No input")</f>
        <v>No input</v>
      </c>
      <c r="K106" s="33"/>
      <c r="L106" s="37"/>
      <c r="P106" s="33"/>
    </row>
    <row r="107" spans="1:16" s="36" customFormat="1" ht="14.45" customHeight="1">
      <c r="A107" s="21"/>
      <c r="B107" s="195"/>
      <c r="C107" s="48" t="s">
        <v>143</v>
      </c>
      <c r="D107" s="48" t="s">
        <v>109</v>
      </c>
      <c r="E107" s="48" t="s">
        <v>243</v>
      </c>
      <c r="F107" s="50" t="s">
        <v>244</v>
      </c>
      <c r="G107" s="49">
        <v>40.9</v>
      </c>
      <c r="H10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07" s="394" t="str">
        <f ca="1">IF(AND(ISNUMBER($D$12),ISNUMBER(Table412[[#This Row],[DDD90 (mg/kg bw/d)]])),$D$47/Table412[[#This Row],[DDD90 (mg/kg bw/d)]],"")</f>
        <v/>
      </c>
      <c r="J107" s="33" t="str">
        <f ca="1">IF(ISNUMBER(Table412[[#This Row],[TERmix]]),"Input provided","No input")</f>
        <v>No input</v>
      </c>
      <c r="K107" s="33"/>
      <c r="L107" s="37"/>
      <c r="P107" s="33"/>
    </row>
    <row r="108" spans="1:16" s="36" customFormat="1" ht="14.45" customHeight="1">
      <c r="A108" s="21"/>
      <c r="B108" s="195"/>
      <c r="C108" s="48" t="s">
        <v>143</v>
      </c>
      <c r="D108" s="48" t="s">
        <v>109</v>
      </c>
      <c r="E108" s="48" t="s">
        <v>238</v>
      </c>
      <c r="F108" s="50" t="s">
        <v>239</v>
      </c>
      <c r="G108" s="49">
        <v>5.2</v>
      </c>
      <c r="H10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08" s="394" t="str">
        <f ca="1">IF(AND(ISNUMBER($D$12),ISNUMBER(Table412[[#This Row],[DDD90 (mg/kg bw/d)]])),$D$47/Table412[[#This Row],[DDD90 (mg/kg bw/d)]],"")</f>
        <v/>
      </c>
      <c r="J108" s="33" t="str">
        <f ca="1">IF(ISNUMBER(Table412[[#This Row],[TERmix]]),"Input provided","No input")</f>
        <v>No input</v>
      </c>
      <c r="K108" s="33"/>
      <c r="L108" s="37"/>
      <c r="P108" s="33"/>
    </row>
    <row r="109" spans="1:16" s="36" customFormat="1" ht="14.45" customHeight="1">
      <c r="A109" s="21"/>
      <c r="B109" s="195"/>
      <c r="C109" s="48" t="s">
        <v>147</v>
      </c>
      <c r="D109" s="48" t="s">
        <v>108</v>
      </c>
      <c r="E109" s="48" t="s">
        <v>241</v>
      </c>
      <c r="F109" s="50" t="s">
        <v>242</v>
      </c>
      <c r="G109" s="49">
        <v>7.6</v>
      </c>
      <c r="H10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09" s="394" t="str">
        <f ca="1">IF(AND(ISNUMBER($D$12),ISNUMBER(Table412[[#This Row],[DDD90 (mg/kg bw/d)]])),$D$47/Table412[[#This Row],[DDD90 (mg/kg bw/d)]],"")</f>
        <v/>
      </c>
      <c r="J109" s="33" t="str">
        <f ca="1">IF(ISNUMBER(Table412[[#This Row],[TERmix]]),"Input provided","No input")</f>
        <v>No input</v>
      </c>
      <c r="K109" s="33"/>
      <c r="L109" s="37"/>
      <c r="P109" s="33"/>
    </row>
    <row r="110" spans="1:16" s="36" customFormat="1" ht="14.45" customHeight="1">
      <c r="A110" s="21"/>
      <c r="B110" s="195"/>
      <c r="C110" s="48" t="s">
        <v>147</v>
      </c>
      <c r="D110" s="48" t="s">
        <v>111</v>
      </c>
      <c r="E110" s="48" t="s">
        <v>241</v>
      </c>
      <c r="F110" s="50" t="s">
        <v>242</v>
      </c>
      <c r="G110" s="49">
        <v>5.4</v>
      </c>
      <c r="H11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10" s="394" t="str">
        <f ca="1">IF(AND(ISNUMBER($D$12),ISNUMBER(Table412[[#This Row],[DDD90 (mg/kg bw/d)]])),$D$47/Table412[[#This Row],[DDD90 (mg/kg bw/d)]],"")</f>
        <v/>
      </c>
      <c r="J110" s="33" t="str">
        <f ca="1">IF(ISNUMBER(Table412[[#This Row],[TERmix]]),"Input provided","No input")</f>
        <v>No input</v>
      </c>
      <c r="K110" s="33"/>
      <c r="L110" s="37"/>
      <c r="P110" s="33"/>
    </row>
    <row r="111" spans="1:16" s="36" customFormat="1" ht="14.45" customHeight="1">
      <c r="A111" s="21"/>
      <c r="B111" s="195"/>
      <c r="C111" s="48" t="s">
        <v>147</v>
      </c>
      <c r="D111" s="48" t="s">
        <v>257</v>
      </c>
      <c r="E111" s="48" t="s">
        <v>243</v>
      </c>
      <c r="F111" s="50" t="s">
        <v>244</v>
      </c>
      <c r="G111" s="49">
        <v>136.4</v>
      </c>
      <c r="H11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11" s="394" t="str">
        <f ca="1">IF(AND(ISNUMBER($D$12),ISNUMBER(Table412[[#This Row],[DDD90 (mg/kg bw/d)]])),$D$47/Table412[[#This Row],[DDD90 (mg/kg bw/d)]],"")</f>
        <v/>
      </c>
      <c r="J111" s="33" t="str">
        <f ca="1">IF(ISNUMBER(Table412[[#This Row],[TERmix]]),"Input provided","No input")</f>
        <v>No input</v>
      </c>
      <c r="K111" s="33"/>
      <c r="L111" s="37"/>
      <c r="P111" s="33"/>
    </row>
    <row r="112" spans="1:16" s="36" customFormat="1" ht="14.45" customHeight="1">
      <c r="A112" s="21"/>
      <c r="B112" s="195"/>
      <c r="C112" s="48" t="s">
        <v>147</v>
      </c>
      <c r="D112" s="48" t="s">
        <v>134</v>
      </c>
      <c r="E112" s="48" t="s">
        <v>243</v>
      </c>
      <c r="F112" s="50" t="s">
        <v>244</v>
      </c>
      <c r="G112" s="49">
        <v>40.9</v>
      </c>
      <c r="H11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12" s="394" t="str">
        <f ca="1">IF(AND(ISNUMBER($D$12),ISNUMBER(Table412[[#This Row],[DDD90 (mg/kg bw/d)]])),$D$47/Table412[[#This Row],[DDD90 (mg/kg bw/d)]],"")</f>
        <v/>
      </c>
      <c r="J112" s="33" t="str">
        <f ca="1">IF(ISNUMBER(Table412[[#This Row],[TERmix]]),"Input provided","No input")</f>
        <v>No input</v>
      </c>
      <c r="K112" s="33"/>
      <c r="L112" s="37"/>
      <c r="P112" s="33"/>
    </row>
    <row r="113" spans="1:16" s="36" customFormat="1" ht="14.45" customHeight="1">
      <c r="A113" s="21"/>
      <c r="B113" s="195"/>
      <c r="C113" s="48" t="s">
        <v>147</v>
      </c>
      <c r="D113" s="48" t="s">
        <v>254</v>
      </c>
      <c r="E113" s="48" t="s">
        <v>249</v>
      </c>
      <c r="F113" s="50" t="s">
        <v>250</v>
      </c>
      <c r="G113" s="49">
        <v>35.1</v>
      </c>
      <c r="H11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13" s="394" t="str">
        <f ca="1">IF(AND(ISNUMBER($D$12),ISNUMBER(Table412[[#This Row],[DDD90 (mg/kg bw/d)]])),$D$47/Table412[[#This Row],[DDD90 (mg/kg bw/d)]],"")</f>
        <v/>
      </c>
      <c r="J113" s="33" t="str">
        <f ca="1">IF(ISNUMBER(Table412[[#This Row],[TERmix]]),"Input provided","No input")</f>
        <v>No input</v>
      </c>
      <c r="K113" s="33"/>
      <c r="L113" s="37"/>
      <c r="P113" s="33"/>
    </row>
    <row r="114" spans="1:16" s="36" customFormat="1" ht="14.45" customHeight="1">
      <c r="A114" s="21"/>
      <c r="B114" s="195"/>
      <c r="C114" s="48" t="s">
        <v>147</v>
      </c>
      <c r="D114" s="48" t="s">
        <v>132</v>
      </c>
      <c r="E114" s="48" t="s">
        <v>238</v>
      </c>
      <c r="F114" s="50" t="s">
        <v>239</v>
      </c>
      <c r="G114" s="49">
        <v>17.2</v>
      </c>
      <c r="H11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14" s="394" t="str">
        <f ca="1">IF(AND(ISNUMBER($D$12),ISNUMBER(Table412[[#This Row],[DDD90 (mg/kg bw/d)]])),$D$47/Table412[[#This Row],[DDD90 (mg/kg bw/d)]],"")</f>
        <v/>
      </c>
      <c r="J114" s="33" t="str">
        <f ca="1">IF(ISNUMBER(Table412[[#This Row],[TERmix]]),"Input provided","No input")</f>
        <v>No input</v>
      </c>
      <c r="K114" s="33"/>
      <c r="L114" s="37"/>
      <c r="P114" s="33"/>
    </row>
    <row r="115" spans="1:16" s="36" customFormat="1" ht="14.45" customHeight="1">
      <c r="A115" s="21"/>
      <c r="B115" s="195"/>
      <c r="C115" s="48" t="s">
        <v>147</v>
      </c>
      <c r="D115" s="48" t="s">
        <v>134</v>
      </c>
      <c r="E115" s="48" t="s">
        <v>238</v>
      </c>
      <c r="F115" s="50" t="s">
        <v>239</v>
      </c>
      <c r="G115" s="49">
        <v>5.2</v>
      </c>
      <c r="H11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15" s="394" t="str">
        <f ca="1">IF(AND(ISNUMBER($D$12),ISNUMBER(Table412[[#This Row],[DDD90 (mg/kg bw/d)]])),$D$47/Table412[[#This Row],[DDD90 (mg/kg bw/d)]],"")</f>
        <v/>
      </c>
      <c r="J115" s="33" t="str">
        <f ca="1">IF(ISNUMBER(Table412[[#This Row],[TERmix]]),"Input provided","No input")</f>
        <v>No input</v>
      </c>
      <c r="K115" s="33"/>
      <c r="L115" s="37"/>
      <c r="P115" s="33"/>
    </row>
    <row r="116" spans="1:16" s="36" customFormat="1" ht="14.45" customHeight="1">
      <c r="A116" s="21"/>
      <c r="B116" s="195"/>
      <c r="C116" s="48" t="s">
        <v>152</v>
      </c>
      <c r="D116" s="48" t="s">
        <v>108</v>
      </c>
      <c r="E116" s="48" t="s">
        <v>241</v>
      </c>
      <c r="F116" s="50" t="s">
        <v>242</v>
      </c>
      <c r="G116" s="49">
        <v>7.6</v>
      </c>
      <c r="H11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16" s="394" t="str">
        <f ca="1">IF(AND(ISNUMBER($D$12),ISNUMBER(Table412[[#This Row],[DDD90 (mg/kg bw/d)]])),$D$47/Table412[[#This Row],[DDD90 (mg/kg bw/d)]],"")</f>
        <v/>
      </c>
      <c r="J116" s="33" t="str">
        <f ca="1">IF(ISNUMBER(Table412[[#This Row],[TERmix]]),"Input provided","No input")</f>
        <v>No input</v>
      </c>
      <c r="K116" s="33"/>
      <c r="L116" s="37"/>
      <c r="P116" s="33"/>
    </row>
    <row r="117" spans="1:16" s="36" customFormat="1" ht="14.45" customHeight="1">
      <c r="A117" s="21"/>
      <c r="B117" s="195"/>
      <c r="C117" s="48" t="s">
        <v>152</v>
      </c>
      <c r="D117" s="48" t="s">
        <v>111</v>
      </c>
      <c r="E117" s="48" t="s">
        <v>241</v>
      </c>
      <c r="F117" s="50" t="s">
        <v>242</v>
      </c>
      <c r="G117" s="49">
        <v>5.4</v>
      </c>
      <c r="H11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17" s="394" t="str">
        <f ca="1">IF(AND(ISNUMBER($D$12),ISNUMBER(Table412[[#This Row],[DDD90 (mg/kg bw/d)]])),$D$47/Table412[[#This Row],[DDD90 (mg/kg bw/d)]],"")</f>
        <v/>
      </c>
      <c r="J117" s="33" t="str">
        <f ca="1">IF(ISNUMBER(Table412[[#This Row],[TERmix]]),"Input provided","No input")</f>
        <v>No input</v>
      </c>
      <c r="K117" s="33"/>
      <c r="L117" s="37"/>
      <c r="P117" s="33"/>
    </row>
    <row r="118" spans="1:16" s="36" customFormat="1" ht="14.45" customHeight="1">
      <c r="A118" s="21"/>
      <c r="B118" s="195"/>
      <c r="C118" s="48" t="s">
        <v>152</v>
      </c>
      <c r="D118" s="48" t="s">
        <v>132</v>
      </c>
      <c r="E118" s="48" t="s">
        <v>238</v>
      </c>
      <c r="F118" s="50" t="s">
        <v>239</v>
      </c>
      <c r="G118" s="49">
        <v>17.2</v>
      </c>
      <c r="H11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18" s="394" t="str">
        <f ca="1">IF(AND(ISNUMBER($D$12),ISNUMBER(Table412[[#This Row],[DDD90 (mg/kg bw/d)]])),$D$47/Table412[[#This Row],[DDD90 (mg/kg bw/d)]],"")</f>
        <v/>
      </c>
      <c r="J118" s="33" t="str">
        <f ca="1">IF(ISNUMBER(Table412[[#This Row],[TERmix]]),"Input provided","No input")</f>
        <v>No input</v>
      </c>
      <c r="K118" s="33"/>
      <c r="L118" s="37"/>
      <c r="P118" s="33"/>
    </row>
    <row r="119" spans="1:16" s="36" customFormat="1" ht="14.45" customHeight="1">
      <c r="A119" s="21"/>
      <c r="B119" s="195"/>
      <c r="C119" s="48" t="s">
        <v>152</v>
      </c>
      <c r="D119" s="48" t="s">
        <v>257</v>
      </c>
      <c r="E119" s="48" t="s">
        <v>243</v>
      </c>
      <c r="F119" s="50" t="s">
        <v>244</v>
      </c>
      <c r="G119" s="49">
        <v>136.4</v>
      </c>
      <c r="H11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19" s="394" t="str">
        <f ca="1">IF(AND(ISNUMBER($D$12),ISNUMBER(Table412[[#This Row],[DDD90 (mg/kg bw/d)]])),$D$47/Table412[[#This Row],[DDD90 (mg/kg bw/d)]],"")</f>
        <v/>
      </c>
      <c r="J119" s="33" t="str">
        <f ca="1">IF(ISNUMBER(Table412[[#This Row],[TERmix]]),"Input provided","No input")</f>
        <v>No input</v>
      </c>
      <c r="K119" s="33"/>
      <c r="L119" s="37"/>
      <c r="P119" s="33"/>
    </row>
    <row r="120" spans="1:16" s="36" customFormat="1" ht="14.45" customHeight="1">
      <c r="A120" s="21"/>
      <c r="B120" s="195"/>
      <c r="C120" s="48" t="s">
        <v>152</v>
      </c>
      <c r="D120" s="48" t="s">
        <v>153</v>
      </c>
      <c r="E120" s="48" t="s">
        <v>249</v>
      </c>
      <c r="F120" s="50" t="s">
        <v>250</v>
      </c>
      <c r="G120" s="49">
        <v>35.1</v>
      </c>
      <c r="H12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20" s="394" t="str">
        <f ca="1">IF(AND(ISNUMBER($D$12),ISNUMBER(Table412[[#This Row],[DDD90 (mg/kg bw/d)]])),$D$47/Table412[[#This Row],[DDD90 (mg/kg bw/d)]],"")</f>
        <v/>
      </c>
      <c r="J120" s="33" t="str">
        <f ca="1">IF(ISNUMBER(Table412[[#This Row],[TERmix]]),"Input provided","No input")</f>
        <v>No input</v>
      </c>
      <c r="K120" s="33"/>
      <c r="L120" s="37"/>
      <c r="P120" s="33"/>
    </row>
    <row r="121" spans="1:16" s="36" customFormat="1" ht="14.45" customHeight="1">
      <c r="A121" s="21"/>
      <c r="B121" s="195"/>
      <c r="C121" s="48" t="s">
        <v>152</v>
      </c>
      <c r="D121" s="48" t="s">
        <v>134</v>
      </c>
      <c r="E121" s="48" t="s">
        <v>243</v>
      </c>
      <c r="F121" s="50" t="s">
        <v>244</v>
      </c>
      <c r="G121" s="49">
        <v>40.9</v>
      </c>
      <c r="H12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21" s="394" t="str">
        <f ca="1">IF(AND(ISNUMBER($D$12),ISNUMBER(Table412[[#This Row],[DDD90 (mg/kg bw/d)]])),$D$47/Table412[[#This Row],[DDD90 (mg/kg bw/d)]],"")</f>
        <v/>
      </c>
      <c r="J121" s="33" t="str">
        <f ca="1">IF(ISNUMBER(Table412[[#This Row],[TERmix]]),"Input provided","No input")</f>
        <v>No input</v>
      </c>
      <c r="K121" s="33"/>
      <c r="L121" s="37"/>
      <c r="P121" s="33"/>
    </row>
    <row r="122" spans="1:16" s="36" customFormat="1" ht="14.45" customHeight="1">
      <c r="A122" s="21"/>
      <c r="B122" s="195"/>
      <c r="C122" s="48" t="s">
        <v>152</v>
      </c>
      <c r="D122" s="48" t="s">
        <v>134</v>
      </c>
      <c r="E122" s="48" t="s">
        <v>238</v>
      </c>
      <c r="F122" s="50" t="s">
        <v>239</v>
      </c>
      <c r="G122" s="49">
        <v>5.2</v>
      </c>
      <c r="H12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22" s="394" t="str">
        <f ca="1">IF(AND(ISNUMBER($D$12),ISNUMBER(Table412[[#This Row],[DDD90 (mg/kg bw/d)]])),$D$47/Table412[[#This Row],[DDD90 (mg/kg bw/d)]],"")</f>
        <v/>
      </c>
      <c r="J122" s="33" t="str">
        <f ca="1">IF(ISNUMBER(Table412[[#This Row],[TERmix]]),"Input provided","No input")</f>
        <v>No input</v>
      </c>
      <c r="K122" s="33"/>
      <c r="L122" s="37"/>
      <c r="P122" s="33"/>
    </row>
    <row r="123" spans="1:16" s="36" customFormat="1" ht="14.45" customHeight="1">
      <c r="A123" s="21"/>
      <c r="B123" s="195"/>
      <c r="C123" s="48" t="s">
        <v>154</v>
      </c>
      <c r="D123" s="48" t="s">
        <v>108</v>
      </c>
      <c r="E123" s="48" t="s">
        <v>241</v>
      </c>
      <c r="F123" s="50" t="s">
        <v>242</v>
      </c>
      <c r="G123" s="49">
        <v>7.6</v>
      </c>
      <c r="H12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23" s="394" t="str">
        <f ca="1">IF(AND(ISNUMBER($D$12),ISNUMBER(Table412[[#This Row],[DDD90 (mg/kg bw/d)]])),$D$47/Table412[[#This Row],[DDD90 (mg/kg bw/d)]],"")</f>
        <v/>
      </c>
      <c r="J123" s="33" t="str">
        <f ca="1">IF(ISNUMBER(Table412[[#This Row],[TERmix]]),"Input provided","No input")</f>
        <v>No input</v>
      </c>
      <c r="K123" s="33"/>
      <c r="L123" s="37"/>
      <c r="P123" s="33"/>
    </row>
    <row r="124" spans="1:16" s="36" customFormat="1" ht="14.45" customHeight="1">
      <c r="A124" s="21"/>
      <c r="B124" s="195"/>
      <c r="C124" s="48" t="s">
        <v>154</v>
      </c>
      <c r="D124" s="48" t="s">
        <v>119</v>
      </c>
      <c r="E124" s="48" t="s">
        <v>243</v>
      </c>
      <c r="F124" s="50" t="s">
        <v>239</v>
      </c>
      <c r="G124" s="49">
        <v>17.2</v>
      </c>
      <c r="H12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24" s="394" t="str">
        <f ca="1">IF(AND(ISNUMBER($D$12),ISNUMBER(Table412[[#This Row],[DDD90 (mg/kg bw/d)]])),$D$47/Table412[[#This Row],[DDD90 (mg/kg bw/d)]],"")</f>
        <v/>
      </c>
      <c r="J124" s="33" t="str">
        <f ca="1">IF(ISNUMBER(Table412[[#This Row],[TERmix]]),"Input provided","No input")</f>
        <v>No input</v>
      </c>
      <c r="K124" s="33"/>
      <c r="L124" s="37"/>
      <c r="P124" s="33"/>
    </row>
    <row r="125" spans="1:16" s="36" customFormat="1" ht="14.45" customHeight="1">
      <c r="A125" s="21"/>
      <c r="B125" s="195"/>
      <c r="C125" s="48" t="s">
        <v>154</v>
      </c>
      <c r="D125" s="48" t="s">
        <v>119</v>
      </c>
      <c r="E125" s="48" t="s">
        <v>243</v>
      </c>
      <c r="F125" s="50" t="s">
        <v>244</v>
      </c>
      <c r="G125" s="49">
        <v>136.4</v>
      </c>
      <c r="H12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25" s="394" t="str">
        <f ca="1">IF(AND(ISNUMBER($D$12),ISNUMBER(Table412[[#This Row],[DDD90 (mg/kg bw/d)]])),$D$47/Table412[[#This Row],[DDD90 (mg/kg bw/d)]],"")</f>
        <v/>
      </c>
      <c r="J125" s="33" t="str">
        <f ca="1">IF(ISNUMBER(Table412[[#This Row],[TERmix]]),"Input provided","No input")</f>
        <v>No input</v>
      </c>
      <c r="K125" s="33"/>
      <c r="L125" s="37"/>
      <c r="P125" s="33"/>
    </row>
    <row r="126" spans="1:16" s="36" customFormat="1" ht="14.45" customHeight="1">
      <c r="A126" s="21"/>
      <c r="B126" s="195"/>
      <c r="C126" s="48" t="s">
        <v>154</v>
      </c>
      <c r="D126" s="48" t="s">
        <v>111</v>
      </c>
      <c r="E126" s="48" t="s">
        <v>241</v>
      </c>
      <c r="F126" s="50" t="s">
        <v>242</v>
      </c>
      <c r="G126" s="49">
        <v>5.4</v>
      </c>
      <c r="H12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26" s="394" t="str">
        <f ca="1">IF(AND(ISNUMBER($D$12),ISNUMBER(Table412[[#This Row],[DDD90 (mg/kg bw/d)]])),$D$47/Table412[[#This Row],[DDD90 (mg/kg bw/d)]],"")</f>
        <v/>
      </c>
      <c r="J126" s="33" t="str">
        <f ca="1">IF(ISNUMBER(Table412[[#This Row],[TERmix]]),"Input provided","No input")</f>
        <v>No input</v>
      </c>
      <c r="K126" s="33"/>
      <c r="L126" s="37"/>
      <c r="P126" s="33"/>
    </row>
    <row r="127" spans="1:16" s="36" customFormat="1" ht="14.45" customHeight="1">
      <c r="A127" s="21"/>
      <c r="B127" s="195"/>
      <c r="C127" s="48" t="s">
        <v>154</v>
      </c>
      <c r="D127" s="48" t="s">
        <v>109</v>
      </c>
      <c r="E127" s="48" t="s">
        <v>243</v>
      </c>
      <c r="F127" s="50" t="s">
        <v>244</v>
      </c>
      <c r="G127" s="49">
        <v>34.1</v>
      </c>
      <c r="H12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27" s="394" t="str">
        <f ca="1">IF(AND(ISNUMBER($D$12),ISNUMBER(Table412[[#This Row],[DDD90 (mg/kg bw/d)]])),$D$47/Table412[[#This Row],[DDD90 (mg/kg bw/d)]],"")</f>
        <v/>
      </c>
      <c r="J127" s="33" t="str">
        <f ca="1">IF(ISNUMBER(Table412[[#This Row],[TERmix]]),"Input provided","No input")</f>
        <v>No input</v>
      </c>
      <c r="K127" s="33"/>
      <c r="L127" s="37"/>
      <c r="P127" s="33"/>
    </row>
    <row r="128" spans="1:16" s="36" customFormat="1" ht="14.45" customHeight="1">
      <c r="A128" s="21"/>
      <c r="B128" s="195"/>
      <c r="C128" s="48" t="s">
        <v>154</v>
      </c>
      <c r="D128" s="48" t="s">
        <v>123</v>
      </c>
      <c r="E128" s="48" t="s">
        <v>243</v>
      </c>
      <c r="F128" s="50" t="s">
        <v>244</v>
      </c>
      <c r="G128" s="49">
        <v>68.2</v>
      </c>
      <c r="H12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28" s="394" t="str">
        <f ca="1">IF(AND(ISNUMBER($D$12),ISNUMBER(Table412[[#This Row],[DDD90 (mg/kg bw/d)]])),$D$47/Table412[[#This Row],[DDD90 (mg/kg bw/d)]],"")</f>
        <v/>
      </c>
      <c r="J128" s="33" t="str">
        <f ca="1">IF(ISNUMBER(Table412[[#This Row],[TERmix]]),"Input provided","No input")</f>
        <v>No input</v>
      </c>
      <c r="K128" s="33"/>
      <c r="L128" s="37"/>
      <c r="P128" s="33"/>
    </row>
    <row r="129" spans="1:16" s="36" customFormat="1" ht="14.45" customHeight="1">
      <c r="A129" s="21"/>
      <c r="B129" s="195"/>
      <c r="C129" s="48" t="s">
        <v>154</v>
      </c>
      <c r="D129" s="48" t="s">
        <v>123</v>
      </c>
      <c r="E129" s="48" t="s">
        <v>238</v>
      </c>
      <c r="F129" s="50" t="s">
        <v>239</v>
      </c>
      <c r="G129" s="49">
        <v>8.6</v>
      </c>
      <c r="H12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29" s="394" t="str">
        <f ca="1">IF(AND(ISNUMBER($D$12),ISNUMBER(Table412[[#This Row],[DDD90 (mg/kg bw/d)]])),$D$47/Table412[[#This Row],[DDD90 (mg/kg bw/d)]],"")</f>
        <v/>
      </c>
      <c r="J129" s="33" t="str">
        <f ca="1">IF(ISNUMBER(Table412[[#This Row],[TERmix]]),"Input provided","No input")</f>
        <v>No input</v>
      </c>
      <c r="K129" s="33"/>
      <c r="L129" s="37"/>
      <c r="P129" s="33"/>
    </row>
    <row r="130" spans="1:16" s="36" customFormat="1" ht="14.45" customHeight="1">
      <c r="A130" s="21"/>
      <c r="B130" s="195"/>
      <c r="C130" s="48" t="s">
        <v>154</v>
      </c>
      <c r="D130" s="48" t="s">
        <v>109</v>
      </c>
      <c r="E130" s="48" t="s">
        <v>238</v>
      </c>
      <c r="F130" s="50" t="s">
        <v>239</v>
      </c>
      <c r="G130" s="49">
        <v>4.3</v>
      </c>
      <c r="H13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30" s="394" t="str">
        <f ca="1">IF(AND(ISNUMBER($D$12),ISNUMBER(Table412[[#This Row],[DDD90 (mg/kg bw/d)]])),$D$47/Table412[[#This Row],[DDD90 (mg/kg bw/d)]],"")</f>
        <v/>
      </c>
      <c r="J130" s="33" t="str">
        <f ca="1">IF(ISNUMBER(Table412[[#This Row],[TERmix]]),"Input provided","No input")</f>
        <v>No input</v>
      </c>
      <c r="K130" s="33"/>
      <c r="L130" s="37"/>
      <c r="P130" s="33"/>
    </row>
    <row r="131" spans="1:16" s="36" customFormat="1" ht="14.45" customHeight="1">
      <c r="A131" s="21"/>
      <c r="B131" s="195"/>
      <c r="C131" s="48" t="s">
        <v>160</v>
      </c>
      <c r="D131" s="48" t="s">
        <v>108</v>
      </c>
      <c r="E131" s="48" t="s">
        <v>241</v>
      </c>
      <c r="F131" s="50" t="s">
        <v>242</v>
      </c>
      <c r="G131" s="49">
        <v>7.6</v>
      </c>
      <c r="H13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31" s="394" t="str">
        <f ca="1">IF(AND(ISNUMBER($D$12),ISNUMBER(Table412[[#This Row],[DDD90 (mg/kg bw/d)]])),$D$47/Table412[[#This Row],[DDD90 (mg/kg bw/d)]],"")</f>
        <v/>
      </c>
      <c r="J131" s="33" t="str">
        <f ca="1">IF(ISNUMBER(Table412[[#This Row],[TERmix]]),"Input provided","No input")</f>
        <v>No input</v>
      </c>
      <c r="K131" s="33"/>
      <c r="L131" s="37"/>
      <c r="P131" s="33"/>
    </row>
    <row r="132" spans="1:16" s="36" customFormat="1" ht="14.45" customHeight="1">
      <c r="A132" s="21"/>
      <c r="B132" s="195"/>
      <c r="C132" s="48" t="s">
        <v>160</v>
      </c>
      <c r="D132" s="48" t="s">
        <v>111</v>
      </c>
      <c r="E132" s="48" t="s">
        <v>241</v>
      </c>
      <c r="F132" s="50" t="s">
        <v>242</v>
      </c>
      <c r="G132" s="49">
        <v>5.4</v>
      </c>
      <c r="H13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32" s="394" t="str">
        <f ca="1">IF(AND(ISNUMBER($D$12),ISNUMBER(Table412[[#This Row],[DDD90 (mg/kg bw/d)]])),$D$47/Table412[[#This Row],[DDD90 (mg/kg bw/d)]],"")</f>
        <v/>
      </c>
      <c r="J132" s="33" t="str">
        <f ca="1">IF(ISNUMBER(Table412[[#This Row],[TERmix]]),"Input provided","No input")</f>
        <v>No input</v>
      </c>
      <c r="K132" s="33"/>
      <c r="L132" s="37"/>
      <c r="P132" s="33"/>
    </row>
    <row r="133" spans="1:16" s="36" customFormat="1" ht="14.45" customHeight="1">
      <c r="A133" s="21"/>
      <c r="B133" s="195"/>
      <c r="C133" s="48" t="s">
        <v>160</v>
      </c>
      <c r="D133" s="48" t="s">
        <v>123</v>
      </c>
      <c r="E133" s="48" t="s">
        <v>238</v>
      </c>
      <c r="F133" s="50" t="s">
        <v>239</v>
      </c>
      <c r="G133" s="49">
        <v>5.2</v>
      </c>
      <c r="H13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33" s="394" t="str">
        <f ca="1">IF(AND(ISNUMBER($D$12),ISNUMBER(Table412[[#This Row],[DDD90 (mg/kg bw/d)]])),$D$47/Table412[[#This Row],[DDD90 (mg/kg bw/d)]],"")</f>
        <v/>
      </c>
      <c r="J133" s="33" t="str">
        <f ca="1">IF(ISNUMBER(Table412[[#This Row],[TERmix]]),"Input provided","No input")</f>
        <v>No input</v>
      </c>
      <c r="K133" s="33"/>
      <c r="L133" s="37"/>
      <c r="P133" s="33"/>
    </row>
    <row r="134" spans="1:16" s="36" customFormat="1" ht="14.45" customHeight="1">
      <c r="A134" s="21"/>
      <c r="B134" s="195"/>
      <c r="C134" s="48" t="s">
        <v>160</v>
      </c>
      <c r="D134" s="48" t="s">
        <v>254</v>
      </c>
      <c r="E134" s="48" t="s">
        <v>249</v>
      </c>
      <c r="F134" s="50" t="s">
        <v>250</v>
      </c>
      <c r="G134" s="49">
        <v>35.1</v>
      </c>
      <c r="H13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34" s="394" t="str">
        <f ca="1">IF(AND(ISNUMBER($D$12),ISNUMBER(Table412[[#This Row],[DDD90 (mg/kg bw/d)]])),$D$47/Table412[[#This Row],[DDD90 (mg/kg bw/d)]],"")</f>
        <v/>
      </c>
      <c r="J134" s="33" t="str">
        <f ca="1">IF(ISNUMBER(Table412[[#This Row],[TERmix]]),"Input provided","No input")</f>
        <v>No input</v>
      </c>
      <c r="K134" s="33"/>
      <c r="L134" s="37"/>
      <c r="P134" s="33"/>
    </row>
    <row r="135" spans="1:16" s="36" customFormat="1" ht="14.45" customHeight="1">
      <c r="A135" s="21"/>
      <c r="B135" s="195"/>
      <c r="C135" s="48" t="s">
        <v>160</v>
      </c>
      <c r="D135" s="48" t="s">
        <v>119</v>
      </c>
      <c r="E135" s="48" t="s">
        <v>238</v>
      </c>
      <c r="F135" s="50" t="s">
        <v>239</v>
      </c>
      <c r="G135" s="49">
        <v>17.2</v>
      </c>
      <c r="H13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35" s="394" t="str">
        <f ca="1">IF(AND(ISNUMBER($D$12),ISNUMBER(Table412[[#This Row],[DDD90 (mg/kg bw/d)]])),$D$47/Table412[[#This Row],[DDD90 (mg/kg bw/d)]],"")</f>
        <v/>
      </c>
      <c r="J135" s="33" t="str">
        <f ca="1">IF(ISNUMBER(Table412[[#This Row],[TERmix]]),"Input provided","No input")</f>
        <v>No input</v>
      </c>
      <c r="K135" s="33"/>
      <c r="L135" s="37"/>
      <c r="P135" s="33"/>
    </row>
    <row r="136" spans="1:16" s="36" customFormat="1" ht="14.45" customHeight="1">
      <c r="A136" s="21"/>
      <c r="B136" s="195"/>
      <c r="C136" s="48" t="s">
        <v>160</v>
      </c>
      <c r="D136" s="48" t="s">
        <v>109</v>
      </c>
      <c r="E136" s="48" t="s">
        <v>243</v>
      </c>
      <c r="F136" s="50" t="s">
        <v>244</v>
      </c>
      <c r="G136" s="49">
        <v>34.1</v>
      </c>
      <c r="H13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36" s="394" t="str">
        <f ca="1">IF(AND(ISNUMBER($D$12),ISNUMBER(Table412[[#This Row],[DDD90 (mg/kg bw/d)]])),$D$47/Table412[[#This Row],[DDD90 (mg/kg bw/d)]],"")</f>
        <v/>
      </c>
      <c r="J136" s="33" t="str">
        <f ca="1">IF(ISNUMBER(Table412[[#This Row],[TERmix]]),"Input provided","No input")</f>
        <v>No input</v>
      </c>
      <c r="K136" s="33"/>
      <c r="L136" s="37"/>
      <c r="P136" s="33"/>
    </row>
    <row r="137" spans="1:16" s="36" customFormat="1" ht="14.45" customHeight="1">
      <c r="A137" s="21"/>
      <c r="B137" s="195"/>
      <c r="C137" s="48" t="s">
        <v>160</v>
      </c>
      <c r="D137" s="48" t="s">
        <v>109</v>
      </c>
      <c r="E137" s="48" t="s">
        <v>238</v>
      </c>
      <c r="F137" s="50" t="s">
        <v>239</v>
      </c>
      <c r="G137" s="49">
        <v>4.3</v>
      </c>
      <c r="H13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37" s="394" t="str">
        <f ca="1">IF(AND(ISNUMBER($D$12),ISNUMBER(Table412[[#This Row],[DDD90 (mg/kg bw/d)]])),$D$47/Table412[[#This Row],[DDD90 (mg/kg bw/d)]],"")</f>
        <v/>
      </c>
      <c r="J137" s="33" t="str">
        <f ca="1">IF(ISNUMBER(Table412[[#This Row],[TERmix]]),"Input provided","No input")</f>
        <v>No input</v>
      </c>
      <c r="K137" s="33"/>
      <c r="L137" s="37"/>
      <c r="P137" s="33"/>
    </row>
    <row r="138" spans="1:16" s="36" customFormat="1" ht="14.45" customHeight="1">
      <c r="A138" s="21"/>
      <c r="B138" s="195"/>
      <c r="C138" s="48" t="s">
        <v>167</v>
      </c>
      <c r="D138" s="48" t="s">
        <v>258</v>
      </c>
      <c r="E138" s="48" t="s">
        <v>243</v>
      </c>
      <c r="F138" s="50" t="s">
        <v>244</v>
      </c>
      <c r="G138" s="49">
        <v>109.2</v>
      </c>
      <c r="H13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38" s="394" t="str">
        <f ca="1">IF(AND(ISNUMBER($D$12),ISNUMBER(Table412[[#This Row],[DDD90 (mg/kg bw/d)]])),$D$47/Table412[[#This Row],[DDD90 (mg/kg bw/d)]],"")</f>
        <v/>
      </c>
      <c r="J138" s="33" t="str">
        <f ca="1">IF(ISNUMBER(Table412[[#This Row],[TERmix]]),"Input provided","No input")</f>
        <v>No input</v>
      </c>
      <c r="K138" s="33"/>
      <c r="L138" s="37"/>
      <c r="P138" s="33"/>
    </row>
    <row r="139" spans="1:16" s="36" customFormat="1" ht="14.45" customHeight="1">
      <c r="A139" s="21"/>
      <c r="B139" s="195"/>
      <c r="C139" s="48" t="s">
        <v>167</v>
      </c>
      <c r="D139" s="48" t="s">
        <v>258</v>
      </c>
      <c r="E139" s="48" t="s">
        <v>249</v>
      </c>
      <c r="F139" s="50" t="s">
        <v>250</v>
      </c>
      <c r="G139" s="49">
        <v>28.1</v>
      </c>
      <c r="H13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39" s="394" t="str">
        <f ca="1">IF(AND(ISNUMBER($D$12),ISNUMBER(Table412[[#This Row],[DDD90 (mg/kg bw/d)]])),$D$47/Table412[[#This Row],[DDD90 (mg/kg bw/d)]],"")</f>
        <v/>
      </c>
      <c r="J139" s="33" t="str">
        <f ca="1">IF(ISNUMBER(Table412[[#This Row],[TERmix]]),"Input provided","No input")</f>
        <v>No input</v>
      </c>
      <c r="K139" s="33"/>
      <c r="L139" s="37"/>
      <c r="P139" s="33"/>
    </row>
    <row r="140" spans="1:16" s="36" customFormat="1" ht="14.45" customHeight="1">
      <c r="A140" s="21"/>
      <c r="B140" s="195"/>
      <c r="C140" s="48" t="s">
        <v>167</v>
      </c>
      <c r="D140" s="48" t="s">
        <v>258</v>
      </c>
      <c r="E140" s="48" t="s">
        <v>238</v>
      </c>
      <c r="F140" s="50" t="s">
        <v>239</v>
      </c>
      <c r="G140" s="49">
        <v>13.8</v>
      </c>
      <c r="H14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40" s="394" t="str">
        <f ca="1">IF(AND(ISNUMBER($D$12),ISNUMBER(Table412[[#This Row],[DDD90 (mg/kg bw/d)]])),$D$47/Table412[[#This Row],[DDD90 (mg/kg bw/d)]],"")</f>
        <v/>
      </c>
      <c r="J140" s="33" t="str">
        <f ca="1">IF(ISNUMBER(Table412[[#This Row],[TERmix]]),"Input provided","No input")</f>
        <v>No input</v>
      </c>
      <c r="K140" s="33"/>
      <c r="L140" s="37"/>
      <c r="P140" s="33"/>
    </row>
    <row r="141" spans="1:16" s="36" customFormat="1" ht="14.45" customHeight="1">
      <c r="A141" s="21"/>
      <c r="B141" s="195"/>
      <c r="C141" s="48" t="s">
        <v>167</v>
      </c>
      <c r="D141" s="48" t="s">
        <v>259</v>
      </c>
      <c r="E141" s="48" t="s">
        <v>243</v>
      </c>
      <c r="F141" s="50" t="s">
        <v>244</v>
      </c>
      <c r="G141" s="49">
        <v>81.900000000000006</v>
      </c>
      <c r="H14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41" s="394" t="str">
        <f ca="1">IF(AND(ISNUMBER($D$12),ISNUMBER(Table412[[#This Row],[DDD90 (mg/kg bw/d)]])),$D$47/Table412[[#This Row],[DDD90 (mg/kg bw/d)]],"")</f>
        <v/>
      </c>
      <c r="J141" s="33" t="str">
        <f ca="1">IF(ISNUMBER(Table412[[#This Row],[TERmix]]),"Input provided","No input")</f>
        <v>No input</v>
      </c>
      <c r="K141" s="33"/>
      <c r="L141" s="37"/>
      <c r="P141" s="33"/>
    </row>
    <row r="142" spans="1:16" s="36" customFormat="1" ht="14.45" customHeight="1">
      <c r="A142" s="21"/>
      <c r="B142" s="195"/>
      <c r="C142" s="48" t="s">
        <v>167</v>
      </c>
      <c r="D142" s="48" t="s">
        <v>259</v>
      </c>
      <c r="E142" s="48" t="s">
        <v>249</v>
      </c>
      <c r="F142" s="50" t="s">
        <v>250</v>
      </c>
      <c r="G142" s="49">
        <v>21.1</v>
      </c>
      <c r="H14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42" s="394" t="str">
        <f ca="1">IF(AND(ISNUMBER($D$12),ISNUMBER(Table412[[#This Row],[DDD90 (mg/kg bw/d)]])),$D$47/Table412[[#This Row],[DDD90 (mg/kg bw/d)]],"")</f>
        <v/>
      </c>
      <c r="J142" s="33" t="str">
        <f ca="1">IF(ISNUMBER(Table412[[#This Row],[TERmix]]),"Input provided","No input")</f>
        <v>No input</v>
      </c>
      <c r="K142" s="33"/>
      <c r="L142" s="37"/>
      <c r="P142" s="33"/>
    </row>
    <row r="143" spans="1:16" s="36" customFormat="1" ht="14.45" customHeight="1">
      <c r="A143" s="21"/>
      <c r="B143" s="195"/>
      <c r="C143" s="48" t="s">
        <v>167</v>
      </c>
      <c r="D143" s="48" t="s">
        <v>259</v>
      </c>
      <c r="E143" s="48" t="s">
        <v>238</v>
      </c>
      <c r="F143" s="50" t="s">
        <v>239</v>
      </c>
      <c r="G143" s="49">
        <v>10.3</v>
      </c>
      <c r="H14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43" s="394" t="str">
        <f ca="1">IF(AND(ISNUMBER($D$12),ISNUMBER(Table412[[#This Row],[DDD90 (mg/kg bw/d)]])),$D$47/Table412[[#This Row],[DDD90 (mg/kg bw/d)]],"")</f>
        <v/>
      </c>
      <c r="J143" s="33" t="str">
        <f ca="1">IF(ISNUMBER(Table412[[#This Row],[TERmix]]),"Input provided","No input")</f>
        <v>No input</v>
      </c>
      <c r="K143" s="33"/>
      <c r="L143" s="37"/>
      <c r="P143" s="33"/>
    </row>
    <row r="144" spans="1:16" s="36" customFormat="1" ht="14.45" customHeight="1">
      <c r="A144" s="21"/>
      <c r="B144" s="195"/>
      <c r="C144" s="48" t="s">
        <v>167</v>
      </c>
      <c r="D144" s="48" t="s">
        <v>245</v>
      </c>
      <c r="E144" s="48" t="s">
        <v>260</v>
      </c>
      <c r="F144" s="50" t="s">
        <v>247</v>
      </c>
      <c r="G144" s="49">
        <v>47.9</v>
      </c>
      <c r="H14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44" s="394" t="str">
        <f ca="1">IF(AND(ISNUMBER($D$12),ISNUMBER(Table412[[#This Row],[DDD90 (mg/kg bw/d)]])),$D$47/Table412[[#This Row],[DDD90 (mg/kg bw/d)]],"")</f>
        <v/>
      </c>
      <c r="J144" s="33" t="str">
        <f ca="1">IF(ISNUMBER(Table412[[#This Row],[TERmix]]),"Input provided","No input")</f>
        <v>No input</v>
      </c>
      <c r="K144" s="33"/>
      <c r="L144" s="37"/>
      <c r="P144" s="33"/>
    </row>
    <row r="145" spans="1:16" s="36" customFormat="1" ht="14.45" customHeight="1">
      <c r="A145" s="21"/>
      <c r="B145" s="195"/>
      <c r="C145" s="48" t="s">
        <v>167</v>
      </c>
      <c r="D145" s="48" t="s">
        <v>261</v>
      </c>
      <c r="E145" s="48" t="s">
        <v>241</v>
      </c>
      <c r="F145" s="50" t="s">
        <v>242</v>
      </c>
      <c r="G145" s="49">
        <v>5.4</v>
      </c>
      <c r="H14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45" s="394" t="str">
        <f ca="1">IF(AND(ISNUMBER($D$12),ISNUMBER(Table412[[#This Row],[DDD90 (mg/kg bw/d)]])),$D$47/Table412[[#This Row],[DDD90 (mg/kg bw/d)]],"")</f>
        <v/>
      </c>
      <c r="J145" s="33" t="str">
        <f ca="1">IF(ISNUMBER(Table412[[#This Row],[TERmix]]),"Input provided","No input")</f>
        <v>No input</v>
      </c>
      <c r="K145" s="33"/>
      <c r="L145" s="37"/>
      <c r="P145" s="33"/>
    </row>
    <row r="146" spans="1:16" s="36" customFormat="1" ht="14.45" customHeight="1">
      <c r="A146" s="21"/>
      <c r="B146" s="195"/>
      <c r="C146" s="48" t="s">
        <v>167</v>
      </c>
      <c r="D146" s="48" t="s">
        <v>261</v>
      </c>
      <c r="E146" s="48" t="s">
        <v>243</v>
      </c>
      <c r="F146" s="50" t="s">
        <v>244</v>
      </c>
      <c r="G146" s="49">
        <v>136.4</v>
      </c>
      <c r="H14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46" s="394" t="str">
        <f ca="1">IF(AND(ISNUMBER($D$12),ISNUMBER(Table412[[#This Row],[DDD90 (mg/kg bw/d)]])),$D$47/Table412[[#This Row],[DDD90 (mg/kg bw/d)]],"")</f>
        <v/>
      </c>
      <c r="J146" s="33" t="str">
        <f ca="1">IF(ISNUMBER(Table412[[#This Row],[TERmix]]),"Input provided","No input")</f>
        <v>No input</v>
      </c>
      <c r="K146" s="33"/>
      <c r="L146" s="37"/>
      <c r="P146" s="33"/>
    </row>
    <row r="147" spans="1:16" s="36" customFormat="1" ht="14.45" customHeight="1">
      <c r="A147" s="21"/>
      <c r="B147" s="195"/>
      <c r="C147" s="48" t="s">
        <v>167</v>
      </c>
      <c r="D147" s="48" t="s">
        <v>261</v>
      </c>
      <c r="E147" s="48" t="s">
        <v>249</v>
      </c>
      <c r="F147" s="50" t="s">
        <v>250</v>
      </c>
      <c r="G147" s="49">
        <v>35.1</v>
      </c>
      <c r="H14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47" s="394" t="str">
        <f ca="1">IF(AND(ISNUMBER($D$12),ISNUMBER(Table412[[#This Row],[DDD90 (mg/kg bw/d)]])),$D$47/Table412[[#This Row],[DDD90 (mg/kg bw/d)]],"")</f>
        <v/>
      </c>
      <c r="J147" s="33" t="str">
        <f ca="1">IF(ISNUMBER(Table412[[#This Row],[TERmix]]),"Input provided","No input")</f>
        <v>No input</v>
      </c>
      <c r="K147" s="33"/>
      <c r="L147" s="37"/>
      <c r="P147" s="33"/>
    </row>
    <row r="148" spans="1:16" s="36" customFormat="1" ht="14.45" customHeight="1">
      <c r="A148" s="21"/>
      <c r="B148" s="195"/>
      <c r="C148" s="48" t="s">
        <v>167</v>
      </c>
      <c r="D148" s="48" t="s">
        <v>261</v>
      </c>
      <c r="E148" s="48" t="s">
        <v>238</v>
      </c>
      <c r="F148" s="50" t="s">
        <v>239</v>
      </c>
      <c r="G148" s="49">
        <v>17.2</v>
      </c>
      <c r="H14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48" s="394" t="str">
        <f ca="1">IF(AND(ISNUMBER($D$12),ISNUMBER(Table412[[#This Row],[DDD90 (mg/kg bw/d)]])),$D$47/Table412[[#This Row],[DDD90 (mg/kg bw/d)]],"")</f>
        <v/>
      </c>
      <c r="J148" s="33" t="str">
        <f ca="1">IF(ISNUMBER(Table412[[#This Row],[TERmix]]),"Input provided","No input")</f>
        <v>No input</v>
      </c>
      <c r="K148" s="33"/>
      <c r="L148" s="37"/>
      <c r="P148" s="33"/>
    </row>
    <row r="149" spans="1:16" s="36" customFormat="1" ht="14.45" customHeight="1">
      <c r="A149" s="21"/>
      <c r="B149" s="195"/>
      <c r="C149" s="48" t="s">
        <v>167</v>
      </c>
      <c r="D149" s="48" t="s">
        <v>173</v>
      </c>
      <c r="E149" s="48" t="s">
        <v>249</v>
      </c>
      <c r="F149" s="50" t="s">
        <v>250</v>
      </c>
      <c r="G149" s="49">
        <v>10.5</v>
      </c>
      <c r="H14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49" s="394" t="str">
        <f ca="1">IF(AND(ISNUMBER($D$12),ISNUMBER(Table412[[#This Row],[DDD90 (mg/kg bw/d)]])),$D$47/Table412[[#This Row],[DDD90 (mg/kg bw/d)]],"")</f>
        <v/>
      </c>
      <c r="J149" s="33" t="str">
        <f ca="1">IF(ISNUMBER(Table412[[#This Row],[TERmix]]),"Input provided","No input")</f>
        <v>No input</v>
      </c>
      <c r="K149" s="33"/>
      <c r="L149" s="37"/>
      <c r="P149" s="33"/>
    </row>
    <row r="150" spans="1:16" s="36" customFormat="1" ht="14.45" customHeight="1">
      <c r="A150" s="21"/>
      <c r="B150" s="195"/>
      <c r="C150" s="48" t="s">
        <v>167</v>
      </c>
      <c r="D150" s="48" t="s">
        <v>173</v>
      </c>
      <c r="E150" s="48" t="s">
        <v>243</v>
      </c>
      <c r="F150" s="50" t="s">
        <v>244</v>
      </c>
      <c r="G150" s="49">
        <v>40.9</v>
      </c>
      <c r="H15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50" s="394" t="str">
        <f ca="1">IF(AND(ISNUMBER($D$12),ISNUMBER(Table412[[#This Row],[DDD90 (mg/kg bw/d)]])),$D$47/Table412[[#This Row],[DDD90 (mg/kg bw/d)]],"")</f>
        <v/>
      </c>
      <c r="J150" s="33" t="str">
        <f ca="1">IF(ISNUMBER(Table412[[#This Row],[TERmix]]),"Input provided","No input")</f>
        <v>No input</v>
      </c>
      <c r="K150" s="33"/>
      <c r="L150" s="37"/>
      <c r="P150" s="33"/>
    </row>
    <row r="151" spans="1:16" s="36" customFormat="1" ht="14.45" customHeight="1">
      <c r="A151" s="21"/>
      <c r="B151" s="195"/>
      <c r="C151" s="48" t="s">
        <v>167</v>
      </c>
      <c r="D151" s="48" t="s">
        <v>173</v>
      </c>
      <c r="E151" s="48" t="s">
        <v>238</v>
      </c>
      <c r="F151" s="50" t="s">
        <v>239</v>
      </c>
      <c r="G151" s="49">
        <v>5.2</v>
      </c>
      <c r="H15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51" s="394" t="str">
        <f ca="1">IF(AND(ISNUMBER($D$12),ISNUMBER(Table412[[#This Row],[DDD90 (mg/kg bw/d)]])),$D$47/Table412[[#This Row],[DDD90 (mg/kg bw/d)]],"")</f>
        <v/>
      </c>
      <c r="J151" s="33" t="str">
        <f ca="1">IF(ISNUMBER(Table412[[#This Row],[TERmix]]),"Input provided","No input")</f>
        <v>No input</v>
      </c>
      <c r="K151" s="33"/>
      <c r="L151" s="37"/>
      <c r="P151" s="33"/>
    </row>
    <row r="152" spans="1:16" s="36" customFormat="1" ht="14.45" customHeight="1">
      <c r="A152" s="21"/>
      <c r="B152" s="195"/>
      <c r="C152" s="48" t="s">
        <v>175</v>
      </c>
      <c r="D152" s="48" t="s">
        <v>262</v>
      </c>
      <c r="E152" s="48" t="s">
        <v>238</v>
      </c>
      <c r="F152" s="50" t="s">
        <v>239</v>
      </c>
      <c r="G152" s="49">
        <v>17.2</v>
      </c>
      <c r="H15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52" s="394" t="str">
        <f ca="1">IF(AND(ISNUMBER($D$12),ISNUMBER(Table412[[#This Row],[DDD90 (mg/kg bw/d)]])),$D$47/Table412[[#This Row],[DDD90 (mg/kg bw/d)]],"")</f>
        <v/>
      </c>
      <c r="J152" s="33" t="str">
        <f ca="1">IF(ISNUMBER(Table412[[#This Row],[TERmix]]),"Input provided","No input")</f>
        <v>No input</v>
      </c>
      <c r="K152" s="33"/>
      <c r="L152" s="37"/>
      <c r="P152" s="33"/>
    </row>
    <row r="153" spans="1:16" s="36" customFormat="1" ht="14.45" customHeight="1">
      <c r="A153" s="21"/>
      <c r="B153" s="195"/>
      <c r="C153" s="48" t="s">
        <v>175</v>
      </c>
      <c r="D153" s="48" t="s">
        <v>251</v>
      </c>
      <c r="E153" s="48" t="s">
        <v>243</v>
      </c>
      <c r="F153" s="50" t="s">
        <v>244</v>
      </c>
      <c r="G153" s="49">
        <v>136.4</v>
      </c>
      <c r="H15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53" s="394" t="str">
        <f ca="1">IF(AND(ISNUMBER($D$12),ISNUMBER(Table412[[#This Row],[DDD90 (mg/kg bw/d)]])),$D$47/Table412[[#This Row],[DDD90 (mg/kg bw/d)]],"")</f>
        <v/>
      </c>
      <c r="J153" s="33" t="str">
        <f ca="1">IF(ISNUMBER(Table412[[#This Row],[TERmix]]),"Input provided","No input")</f>
        <v>No input</v>
      </c>
      <c r="K153" s="33"/>
      <c r="L153" s="37"/>
      <c r="P153" s="33"/>
    </row>
    <row r="154" spans="1:16" s="36" customFormat="1" ht="14.45" customHeight="1">
      <c r="A154" s="21"/>
      <c r="B154" s="195"/>
      <c r="C154" s="48" t="s">
        <v>175</v>
      </c>
      <c r="D154" s="48" t="s">
        <v>177</v>
      </c>
      <c r="E154" s="48" t="s">
        <v>241</v>
      </c>
      <c r="F154" s="50" t="s">
        <v>242</v>
      </c>
      <c r="G154" s="49">
        <v>5.4</v>
      </c>
      <c r="H15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54" s="394" t="str">
        <f ca="1">IF(AND(ISNUMBER($D$12),ISNUMBER(Table412[[#This Row],[DDD90 (mg/kg bw/d)]])),$D$47/Table412[[#This Row],[DDD90 (mg/kg bw/d)]],"")</f>
        <v/>
      </c>
      <c r="J154" s="33" t="str">
        <f ca="1">IF(ISNUMBER(Table412[[#This Row],[TERmix]]),"Input provided","No input")</f>
        <v>No input</v>
      </c>
      <c r="K154" s="33"/>
      <c r="L154" s="37"/>
      <c r="P154" s="33"/>
    </row>
    <row r="155" spans="1:16" s="36" customFormat="1" ht="14.45" customHeight="1">
      <c r="A155" s="21"/>
      <c r="B155" s="195"/>
      <c r="C155" s="48" t="s">
        <v>175</v>
      </c>
      <c r="D155" s="48" t="s">
        <v>134</v>
      </c>
      <c r="E155" s="48" t="s">
        <v>243</v>
      </c>
      <c r="F155" s="50" t="s">
        <v>244</v>
      </c>
      <c r="G155" s="49">
        <v>68.2</v>
      </c>
      <c r="H15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55" s="394" t="str">
        <f ca="1">IF(AND(ISNUMBER($D$12),ISNUMBER(Table412[[#This Row],[DDD90 (mg/kg bw/d)]])),$D$47/Table412[[#This Row],[DDD90 (mg/kg bw/d)]],"")</f>
        <v/>
      </c>
      <c r="J155" s="33" t="str">
        <f ca="1">IF(ISNUMBER(Table412[[#This Row],[TERmix]]),"Input provided","No input")</f>
        <v>No input</v>
      </c>
      <c r="K155" s="33"/>
      <c r="L155" s="37"/>
      <c r="P155" s="33"/>
    </row>
    <row r="156" spans="1:16" s="36" customFormat="1" ht="14.45" customHeight="1">
      <c r="A156" s="21"/>
      <c r="B156" s="195"/>
      <c r="C156" s="48" t="s">
        <v>175</v>
      </c>
      <c r="D156" s="48" t="s">
        <v>263</v>
      </c>
      <c r="E156" s="48" t="s">
        <v>238</v>
      </c>
      <c r="F156" s="50" t="s">
        <v>239</v>
      </c>
      <c r="G156" s="49">
        <v>8.6</v>
      </c>
      <c r="H15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56" s="394" t="str">
        <f ca="1">IF(AND(ISNUMBER($D$12),ISNUMBER(Table412[[#This Row],[DDD90 (mg/kg bw/d)]])),$D$47/Table412[[#This Row],[DDD90 (mg/kg bw/d)]],"")</f>
        <v/>
      </c>
      <c r="J156" s="33" t="str">
        <f ca="1">IF(ISNUMBER(Table412[[#This Row],[TERmix]]),"Input provided","No input")</f>
        <v>No input</v>
      </c>
      <c r="K156" s="33"/>
      <c r="L156" s="37"/>
      <c r="P156" s="33"/>
    </row>
    <row r="157" spans="1:16" s="36" customFormat="1" ht="14.45" customHeight="1">
      <c r="A157" s="21"/>
      <c r="B157" s="195"/>
      <c r="C157" s="48" t="s">
        <v>178</v>
      </c>
      <c r="D157" s="48" t="s">
        <v>240</v>
      </c>
      <c r="E157" s="48" t="s">
        <v>241</v>
      </c>
      <c r="F157" s="50" t="s">
        <v>242</v>
      </c>
      <c r="G157" s="49">
        <v>7.6</v>
      </c>
      <c r="H15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57" s="394" t="str">
        <f ca="1">IF(AND(ISNUMBER($D$12),ISNUMBER(Table412[[#This Row],[DDD90 (mg/kg bw/d)]])),$D$47/Table412[[#This Row],[DDD90 (mg/kg bw/d)]],"")</f>
        <v/>
      </c>
      <c r="J157" s="33" t="str">
        <f ca="1">IF(ISNUMBER(Table412[[#This Row],[TERmix]]),"Input provided","No input")</f>
        <v>No input</v>
      </c>
      <c r="K157" s="33"/>
      <c r="L157" s="37"/>
      <c r="P157" s="33"/>
    </row>
    <row r="158" spans="1:16" s="36" customFormat="1" ht="14.45" customHeight="1">
      <c r="A158" s="21"/>
      <c r="B158" s="195"/>
      <c r="C158" s="48" t="s">
        <v>178</v>
      </c>
      <c r="D158" s="48" t="s">
        <v>264</v>
      </c>
      <c r="E158" s="48" t="s">
        <v>249</v>
      </c>
      <c r="F158" s="50" t="s">
        <v>250</v>
      </c>
      <c r="G158" s="49">
        <v>35.1</v>
      </c>
      <c r="H15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58" s="394" t="str">
        <f ca="1">IF(AND(ISNUMBER($D$12),ISNUMBER(Table412[[#This Row],[DDD90 (mg/kg bw/d)]])),$D$47/Table412[[#This Row],[DDD90 (mg/kg bw/d)]],"")</f>
        <v/>
      </c>
      <c r="J158" s="33" t="str">
        <f ca="1">IF(ISNUMBER(Table412[[#This Row],[TERmix]]),"Input provided","No input")</f>
        <v>No input</v>
      </c>
      <c r="K158" s="33"/>
      <c r="L158" s="37"/>
      <c r="P158" s="33"/>
    </row>
    <row r="159" spans="1:16" s="36" customFormat="1" ht="14.45" customHeight="1">
      <c r="A159" s="21"/>
      <c r="B159" s="195"/>
      <c r="C159" s="48" t="s">
        <v>178</v>
      </c>
      <c r="D159" s="48" t="s">
        <v>265</v>
      </c>
      <c r="E159" s="48" t="s">
        <v>238</v>
      </c>
      <c r="F159" s="50" t="s">
        <v>239</v>
      </c>
      <c r="G159" s="49">
        <v>17.2</v>
      </c>
      <c r="H15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59" s="394" t="str">
        <f ca="1">IF(AND(ISNUMBER($D$12),ISNUMBER(Table412[[#This Row],[DDD90 (mg/kg bw/d)]])),$D$47/Table412[[#This Row],[DDD90 (mg/kg bw/d)]],"")</f>
        <v/>
      </c>
      <c r="J159" s="33" t="str">
        <f ca="1">IF(ISNUMBER(Table412[[#This Row],[TERmix]]),"Input provided","No input")</f>
        <v>No input</v>
      </c>
      <c r="K159" s="33"/>
      <c r="L159" s="37"/>
      <c r="P159" s="33"/>
    </row>
    <row r="160" spans="1:16" s="36" customFormat="1" ht="14.45" customHeight="1">
      <c r="A160" s="21"/>
      <c r="B160" s="195"/>
      <c r="C160" s="48" t="s">
        <v>178</v>
      </c>
      <c r="D160" s="48" t="s">
        <v>111</v>
      </c>
      <c r="E160" s="48" t="s">
        <v>241</v>
      </c>
      <c r="F160" s="50" t="s">
        <v>242</v>
      </c>
      <c r="G160" s="49">
        <v>5.4</v>
      </c>
      <c r="H16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60" s="394" t="str">
        <f ca="1">IF(AND(ISNUMBER($D$12),ISNUMBER(Table412[[#This Row],[DDD90 (mg/kg bw/d)]])),$D$47/Table412[[#This Row],[DDD90 (mg/kg bw/d)]],"")</f>
        <v/>
      </c>
      <c r="J160" s="33" t="str">
        <f ca="1">IF(ISNUMBER(Table412[[#This Row],[TERmix]]),"Input provided","No input")</f>
        <v>No input</v>
      </c>
      <c r="K160" s="33"/>
      <c r="L160" s="37"/>
      <c r="P160" s="33"/>
    </row>
    <row r="161" spans="1:16" s="36" customFormat="1" ht="14.45" customHeight="1">
      <c r="A161" s="21"/>
      <c r="B161" s="195"/>
      <c r="C161" s="48" t="s">
        <v>178</v>
      </c>
      <c r="D161" s="48" t="s">
        <v>109</v>
      </c>
      <c r="E161" s="48" t="s">
        <v>243</v>
      </c>
      <c r="F161" s="50" t="s">
        <v>244</v>
      </c>
      <c r="G161" s="49">
        <v>40.9</v>
      </c>
      <c r="H16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61" s="394" t="str">
        <f ca="1">IF(AND(ISNUMBER($D$12),ISNUMBER(Table412[[#This Row],[DDD90 (mg/kg bw/d)]])),$D$47/Table412[[#This Row],[DDD90 (mg/kg bw/d)]],"")</f>
        <v/>
      </c>
      <c r="J161" s="33" t="str">
        <f ca="1">IF(ISNUMBER(Table412[[#This Row],[TERmix]]),"Input provided","No input")</f>
        <v>No input</v>
      </c>
      <c r="K161" s="33"/>
      <c r="L161" s="37"/>
      <c r="P161" s="33"/>
    </row>
    <row r="162" spans="1:16" s="36" customFormat="1" ht="14.45" customHeight="1">
      <c r="A162" s="21"/>
      <c r="B162" s="195"/>
      <c r="C162" s="48" t="s">
        <v>178</v>
      </c>
      <c r="D162" s="48" t="s">
        <v>109</v>
      </c>
      <c r="E162" s="48" t="s">
        <v>249</v>
      </c>
      <c r="F162" s="50" t="s">
        <v>250</v>
      </c>
      <c r="G162" s="49">
        <v>10.5</v>
      </c>
      <c r="H16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62" s="394" t="str">
        <f ca="1">IF(AND(ISNUMBER($D$12),ISNUMBER(Table412[[#This Row],[DDD90 (mg/kg bw/d)]])),$D$47/Table412[[#This Row],[DDD90 (mg/kg bw/d)]],"")</f>
        <v/>
      </c>
      <c r="J162" s="33" t="str">
        <f ca="1">IF(ISNUMBER(Table412[[#This Row],[TERmix]]),"Input provided","No input")</f>
        <v>No input</v>
      </c>
      <c r="K162" s="33"/>
      <c r="L162" s="37"/>
      <c r="P162" s="33"/>
    </row>
    <row r="163" spans="1:16" s="36" customFormat="1" ht="14.45" customHeight="1">
      <c r="A163" s="21"/>
      <c r="B163" s="195"/>
      <c r="C163" s="48" t="s">
        <v>178</v>
      </c>
      <c r="D163" s="48" t="s">
        <v>109</v>
      </c>
      <c r="E163" s="48" t="s">
        <v>238</v>
      </c>
      <c r="F163" s="50" t="s">
        <v>239</v>
      </c>
      <c r="G163" s="49">
        <v>5.2</v>
      </c>
      <c r="H16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63" s="394" t="str">
        <f ca="1">IF(AND(ISNUMBER($D$12),ISNUMBER(Table412[[#This Row],[DDD90 (mg/kg bw/d)]])),$D$47/Table412[[#This Row],[DDD90 (mg/kg bw/d)]],"")</f>
        <v/>
      </c>
      <c r="J163" s="33" t="str">
        <f ca="1">IF(ISNUMBER(Table412[[#This Row],[TERmix]]),"Input provided","No input")</f>
        <v>No input</v>
      </c>
      <c r="K163" s="33"/>
      <c r="L163" s="37"/>
      <c r="P163" s="33"/>
    </row>
    <row r="164" spans="1:16" s="36" customFormat="1" ht="14.45" customHeight="1">
      <c r="A164" s="21"/>
      <c r="B164" s="195"/>
      <c r="C164" s="48" t="s">
        <v>179</v>
      </c>
      <c r="D164" s="48" t="s">
        <v>108</v>
      </c>
      <c r="E164" s="48" t="s">
        <v>241</v>
      </c>
      <c r="F164" s="50" t="s">
        <v>242</v>
      </c>
      <c r="G164" s="49">
        <v>7.6</v>
      </c>
      <c r="H16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64" s="394" t="str">
        <f ca="1">IF(AND(ISNUMBER($D$12),ISNUMBER(Table412[[#This Row],[DDD90 (mg/kg bw/d)]])),$D$47/Table412[[#This Row],[DDD90 (mg/kg bw/d)]],"")</f>
        <v/>
      </c>
      <c r="J164" s="33" t="str">
        <f ca="1">IF(ISNUMBER(Table412[[#This Row],[TERmix]]),"Input provided","No input")</f>
        <v>No input</v>
      </c>
      <c r="K164" s="33"/>
      <c r="L164" s="37"/>
      <c r="P164" s="33"/>
    </row>
    <row r="165" spans="1:16" s="36" customFormat="1" ht="14.45" customHeight="1">
      <c r="A165" s="21"/>
      <c r="B165" s="195"/>
      <c r="C165" s="48" t="s">
        <v>179</v>
      </c>
      <c r="D165" s="48" t="s">
        <v>132</v>
      </c>
      <c r="E165" s="48" t="s">
        <v>249</v>
      </c>
      <c r="F165" s="50" t="s">
        <v>250</v>
      </c>
      <c r="G165" s="49">
        <v>35.1</v>
      </c>
      <c r="H16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65" s="394" t="str">
        <f ca="1">IF(AND(ISNUMBER($D$12),ISNUMBER(Table412[[#This Row],[DDD90 (mg/kg bw/d)]])),$D$47/Table412[[#This Row],[DDD90 (mg/kg bw/d)]],"")</f>
        <v/>
      </c>
      <c r="J165" s="33" t="str">
        <f ca="1">IF(ISNUMBER(Table412[[#This Row],[TERmix]]),"Input provided","No input")</f>
        <v>No input</v>
      </c>
      <c r="K165" s="33"/>
      <c r="L165" s="37"/>
      <c r="P165" s="33"/>
    </row>
    <row r="166" spans="1:16" s="36" customFormat="1" ht="14.45" customHeight="1">
      <c r="A166" s="21"/>
      <c r="B166" s="195"/>
      <c r="C166" s="48" t="s">
        <v>179</v>
      </c>
      <c r="D166" s="48" t="s">
        <v>132</v>
      </c>
      <c r="E166" s="48" t="s">
        <v>238</v>
      </c>
      <c r="F166" s="50" t="s">
        <v>239</v>
      </c>
      <c r="G166" s="49">
        <v>17.2</v>
      </c>
      <c r="H16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66" s="394" t="str">
        <f ca="1">IF(AND(ISNUMBER($D$12),ISNUMBER(Table412[[#This Row],[DDD90 (mg/kg bw/d)]])),$D$47/Table412[[#This Row],[DDD90 (mg/kg bw/d)]],"")</f>
        <v/>
      </c>
      <c r="J166" s="33" t="str">
        <f ca="1">IF(ISNUMBER(Table412[[#This Row],[TERmix]]),"Input provided","No input")</f>
        <v>No input</v>
      </c>
      <c r="K166" s="33"/>
      <c r="L166" s="37"/>
      <c r="P166" s="33"/>
    </row>
    <row r="167" spans="1:16" s="36" customFormat="1" ht="14.45" customHeight="1">
      <c r="A167" s="21"/>
      <c r="B167" s="195"/>
      <c r="C167" s="48" t="s">
        <v>179</v>
      </c>
      <c r="D167" s="48" t="s">
        <v>111</v>
      </c>
      <c r="E167" s="48" t="s">
        <v>241</v>
      </c>
      <c r="F167" s="50" t="s">
        <v>242</v>
      </c>
      <c r="G167" s="49">
        <v>5.4</v>
      </c>
      <c r="H16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67" s="394" t="str">
        <f ca="1">IF(AND(ISNUMBER($D$12),ISNUMBER(Table412[[#This Row],[DDD90 (mg/kg bw/d)]])),$D$47/Table412[[#This Row],[DDD90 (mg/kg bw/d)]],"")</f>
        <v/>
      </c>
      <c r="J167" s="33" t="str">
        <f ca="1">IF(ISNUMBER(Table412[[#This Row],[TERmix]]),"Input provided","No input")</f>
        <v>No input</v>
      </c>
      <c r="K167" s="33"/>
      <c r="L167" s="37"/>
      <c r="P167" s="33"/>
    </row>
    <row r="168" spans="1:16" s="36" customFormat="1" ht="14.45" customHeight="1">
      <c r="A168" s="21"/>
      <c r="B168" s="195"/>
      <c r="C168" s="48" t="s">
        <v>179</v>
      </c>
      <c r="D168" s="48" t="s">
        <v>257</v>
      </c>
      <c r="E168" s="48" t="s">
        <v>241</v>
      </c>
      <c r="F168" s="50" t="s">
        <v>244</v>
      </c>
      <c r="G168" s="49">
        <v>136.4</v>
      </c>
      <c r="H16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68" s="394" t="str">
        <f ca="1">IF(AND(ISNUMBER($D$12),ISNUMBER(Table412[[#This Row],[DDD90 (mg/kg bw/d)]])),$D$47/Table412[[#This Row],[DDD90 (mg/kg bw/d)]],"")</f>
        <v/>
      </c>
      <c r="J168" s="33" t="str">
        <f ca="1">IF(ISNUMBER(Table412[[#This Row],[TERmix]]),"Input provided","No input")</f>
        <v>No input</v>
      </c>
      <c r="K168" s="33"/>
      <c r="L168" s="37"/>
      <c r="P168" s="33"/>
    </row>
    <row r="169" spans="1:16" s="36" customFormat="1" ht="14.45" customHeight="1">
      <c r="A169" s="21"/>
      <c r="B169" s="195"/>
      <c r="C169" s="48" t="s">
        <v>179</v>
      </c>
      <c r="D169" s="48" t="s">
        <v>134</v>
      </c>
      <c r="E169" s="48" t="s">
        <v>243</v>
      </c>
      <c r="F169" s="50" t="s">
        <v>244</v>
      </c>
      <c r="G169" s="49">
        <v>40.9</v>
      </c>
      <c r="H16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69" s="394" t="str">
        <f ca="1">IF(AND(ISNUMBER($D$12),ISNUMBER(Table412[[#This Row],[DDD90 (mg/kg bw/d)]])),$D$47/Table412[[#This Row],[DDD90 (mg/kg bw/d)]],"")</f>
        <v/>
      </c>
      <c r="J169" s="33" t="str">
        <f ca="1">IF(ISNUMBER(Table412[[#This Row],[TERmix]]),"Input provided","No input")</f>
        <v>No input</v>
      </c>
      <c r="K169" s="33"/>
      <c r="L169" s="37"/>
      <c r="P169" s="33"/>
    </row>
    <row r="170" spans="1:16" s="36" customFormat="1" ht="14.45" customHeight="1">
      <c r="A170" s="21"/>
      <c r="B170" s="195"/>
      <c r="C170" s="48" t="s">
        <v>179</v>
      </c>
      <c r="D170" s="48" t="s">
        <v>134</v>
      </c>
      <c r="E170" s="48" t="s">
        <v>249</v>
      </c>
      <c r="F170" s="50" t="s">
        <v>250</v>
      </c>
      <c r="G170" s="49">
        <v>10.5</v>
      </c>
      <c r="H17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70" s="394" t="str">
        <f ca="1">IF(AND(ISNUMBER($D$12),ISNUMBER(Table412[[#This Row],[DDD90 (mg/kg bw/d)]])),$D$47/Table412[[#This Row],[DDD90 (mg/kg bw/d)]],"")</f>
        <v/>
      </c>
      <c r="J170" s="33" t="str">
        <f ca="1">IF(ISNUMBER(Table412[[#This Row],[TERmix]]),"Input provided","No input")</f>
        <v>No input</v>
      </c>
      <c r="K170" s="33"/>
      <c r="L170" s="37"/>
      <c r="P170" s="33"/>
    </row>
    <row r="171" spans="1:16" s="36" customFormat="1" ht="14.45" customHeight="1">
      <c r="A171" s="21"/>
      <c r="B171" s="195"/>
      <c r="C171" s="48" t="s">
        <v>179</v>
      </c>
      <c r="D171" s="48" t="s">
        <v>134</v>
      </c>
      <c r="E171" s="48" t="s">
        <v>238</v>
      </c>
      <c r="F171" s="50" t="s">
        <v>239</v>
      </c>
      <c r="G171" s="49">
        <v>5.2</v>
      </c>
      <c r="H17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71" s="394" t="str">
        <f ca="1">IF(AND(ISNUMBER($D$12),ISNUMBER(Table412[[#This Row],[DDD90 (mg/kg bw/d)]])),$D$47/Table412[[#This Row],[DDD90 (mg/kg bw/d)]],"")</f>
        <v/>
      </c>
      <c r="J171" s="33" t="str">
        <f ca="1">IF(ISNUMBER(Table412[[#This Row],[TERmix]]),"Input provided","No input")</f>
        <v>No input</v>
      </c>
      <c r="K171" s="33"/>
      <c r="L171" s="37"/>
      <c r="P171" s="33"/>
    </row>
    <row r="172" spans="1:16" s="36" customFormat="1" ht="14.45" customHeight="1">
      <c r="A172" s="21"/>
      <c r="B172" s="195"/>
      <c r="C172" s="48" t="s">
        <v>179</v>
      </c>
      <c r="D172" s="48" t="s">
        <v>266</v>
      </c>
      <c r="E172" s="48" t="s">
        <v>238</v>
      </c>
      <c r="F172" s="50" t="s">
        <v>239</v>
      </c>
      <c r="G172" s="49">
        <v>14.4</v>
      </c>
      <c r="H17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72" s="394" t="str">
        <f ca="1">IF(AND(ISNUMBER($D$12),ISNUMBER(Table412[[#This Row],[DDD90 (mg/kg bw/d)]])),$D$47/Table412[[#This Row],[DDD90 (mg/kg bw/d)]],"")</f>
        <v/>
      </c>
      <c r="J172" s="33" t="str">
        <f ca="1">IF(ISNUMBER(Table412[[#This Row],[TERmix]]),"Input provided","No input")</f>
        <v>No input</v>
      </c>
      <c r="K172" s="33"/>
      <c r="L172" s="37"/>
      <c r="P172" s="33"/>
    </row>
    <row r="173" spans="1:16" s="36" customFormat="1" ht="14.45" customHeight="1">
      <c r="A173" s="21"/>
      <c r="B173" s="195"/>
      <c r="C173" s="48" t="s">
        <v>180</v>
      </c>
      <c r="D173" s="48" t="s">
        <v>108</v>
      </c>
      <c r="E173" s="48" t="s">
        <v>241</v>
      </c>
      <c r="F173" s="50" t="s">
        <v>242</v>
      </c>
      <c r="G173" s="49">
        <v>7.6</v>
      </c>
      <c r="H17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73" s="394" t="str">
        <f ca="1">IF(AND(ISNUMBER($D$12),ISNUMBER(Table412[[#This Row],[DDD90 (mg/kg bw/d)]])),$D$47/Table412[[#This Row],[DDD90 (mg/kg bw/d)]],"")</f>
        <v/>
      </c>
      <c r="J173" s="33" t="str">
        <f ca="1">IF(ISNUMBER(Table412[[#This Row],[TERmix]]),"Input provided","No input")</f>
        <v>No input</v>
      </c>
      <c r="K173" s="33"/>
      <c r="L173" s="37"/>
      <c r="P173" s="33"/>
    </row>
    <row r="174" spans="1:16" s="36" customFormat="1" ht="14.45" customHeight="1">
      <c r="A174" s="21"/>
      <c r="B174" s="195"/>
      <c r="C174" s="48" t="s">
        <v>180</v>
      </c>
      <c r="D174" s="48" t="s">
        <v>110</v>
      </c>
      <c r="E174" s="48" t="s">
        <v>238</v>
      </c>
      <c r="F174" s="50" t="s">
        <v>239</v>
      </c>
      <c r="G174" s="49">
        <v>17.2</v>
      </c>
      <c r="H17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74" s="394" t="str">
        <f ca="1">IF(AND(ISNUMBER($D$12),ISNUMBER(Table412[[#This Row],[DDD90 (mg/kg bw/d)]])),$D$47/Table412[[#This Row],[DDD90 (mg/kg bw/d)]],"")</f>
        <v/>
      </c>
      <c r="J174" s="33" t="str">
        <f ca="1">IF(ISNUMBER(Table412[[#This Row],[TERmix]]),"Input provided","No input")</f>
        <v>No input</v>
      </c>
      <c r="K174" s="33"/>
      <c r="L174" s="37"/>
      <c r="P174" s="33"/>
    </row>
    <row r="175" spans="1:16" s="36" customFormat="1" ht="14.45" customHeight="1">
      <c r="A175" s="21"/>
      <c r="B175" s="195"/>
      <c r="C175" s="48" t="s">
        <v>180</v>
      </c>
      <c r="D175" s="48" t="s">
        <v>111</v>
      </c>
      <c r="E175" s="48" t="s">
        <v>241</v>
      </c>
      <c r="F175" s="50" t="s">
        <v>242</v>
      </c>
      <c r="G175" s="49">
        <v>5.4</v>
      </c>
      <c r="H17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75" s="394" t="str">
        <f ca="1">IF(AND(ISNUMBER($D$12),ISNUMBER(Table412[[#This Row],[DDD90 (mg/kg bw/d)]])),$D$47/Table412[[#This Row],[DDD90 (mg/kg bw/d)]],"")</f>
        <v/>
      </c>
      <c r="J175" s="33" t="str">
        <f ca="1">IF(ISNUMBER(Table412[[#This Row],[TERmix]]),"Input provided","No input")</f>
        <v>No input</v>
      </c>
      <c r="K175" s="33"/>
      <c r="L175" s="37"/>
      <c r="P175" s="33"/>
    </row>
    <row r="176" spans="1:16" s="36" customFormat="1" ht="14.45" customHeight="1">
      <c r="A176" s="21"/>
      <c r="B176" s="195"/>
      <c r="C176" s="48" t="s">
        <v>180</v>
      </c>
      <c r="D176" s="48" t="s">
        <v>109</v>
      </c>
      <c r="E176" s="48" t="s">
        <v>243</v>
      </c>
      <c r="F176" s="50" t="s">
        <v>244</v>
      </c>
      <c r="G176" s="49">
        <v>40.9</v>
      </c>
      <c r="H17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76" s="394" t="str">
        <f ca="1">IF(AND(ISNUMBER($D$12),ISNUMBER(Table412[[#This Row],[DDD90 (mg/kg bw/d)]])),$D$47/Table412[[#This Row],[DDD90 (mg/kg bw/d)]],"")</f>
        <v/>
      </c>
      <c r="J176" s="33" t="str">
        <f ca="1">IF(ISNUMBER(Table412[[#This Row],[TERmix]]),"Input provided","No input")</f>
        <v>No input</v>
      </c>
      <c r="K176" s="33"/>
      <c r="L176" s="37"/>
      <c r="P176" s="33"/>
    </row>
    <row r="177" spans="1:16" s="36" customFormat="1" ht="14.45" customHeight="1">
      <c r="A177" s="21"/>
      <c r="B177" s="195"/>
      <c r="C177" s="48" t="s">
        <v>180</v>
      </c>
      <c r="D177" s="48" t="s">
        <v>109</v>
      </c>
      <c r="E177" s="48" t="s">
        <v>238</v>
      </c>
      <c r="F177" s="50" t="s">
        <v>239</v>
      </c>
      <c r="G177" s="49">
        <v>5.2</v>
      </c>
      <c r="H17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77" s="394" t="str">
        <f ca="1">IF(AND(ISNUMBER($D$12),ISNUMBER(Table412[[#This Row],[DDD90 (mg/kg bw/d)]])),$D$47/Table412[[#This Row],[DDD90 (mg/kg bw/d)]],"")</f>
        <v/>
      </c>
      <c r="J177" s="33" t="str">
        <f ca="1">IF(ISNUMBER(Table412[[#This Row],[TERmix]]),"Input provided","No input")</f>
        <v>No input</v>
      </c>
      <c r="K177" s="33"/>
      <c r="L177" s="37"/>
      <c r="P177" s="33"/>
    </row>
    <row r="178" spans="1:16" s="36" customFormat="1" ht="14.45" customHeight="1">
      <c r="A178" s="21"/>
      <c r="B178" s="195"/>
      <c r="C178" s="48" t="s">
        <v>181</v>
      </c>
      <c r="D178" s="48" t="s">
        <v>108</v>
      </c>
      <c r="E178" s="48" t="s">
        <v>241</v>
      </c>
      <c r="F178" s="50" t="s">
        <v>242</v>
      </c>
      <c r="G178" s="49">
        <v>7.6</v>
      </c>
      <c r="H17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78" s="394" t="str">
        <f ca="1">IF(AND(ISNUMBER($D$12),ISNUMBER(Table412[[#This Row],[DDD90 (mg/kg bw/d)]])),$D$47/Table412[[#This Row],[DDD90 (mg/kg bw/d)]],"")</f>
        <v/>
      </c>
      <c r="J178" s="33" t="str">
        <f ca="1">IF(ISNUMBER(Table412[[#This Row],[TERmix]]),"Input provided","No input")</f>
        <v>No input</v>
      </c>
      <c r="K178" s="33"/>
      <c r="L178" s="37"/>
      <c r="P178" s="33"/>
    </row>
    <row r="179" spans="1:16" s="36" customFormat="1" ht="14.45" customHeight="1">
      <c r="A179" s="21"/>
      <c r="B179" s="195"/>
      <c r="C179" s="48" t="s">
        <v>181</v>
      </c>
      <c r="D179" s="48" t="s">
        <v>110</v>
      </c>
      <c r="E179" s="48" t="s">
        <v>249</v>
      </c>
      <c r="F179" s="50" t="s">
        <v>250</v>
      </c>
      <c r="G179" s="49">
        <v>35.1</v>
      </c>
      <c r="H17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79" s="394" t="str">
        <f ca="1">IF(AND(ISNUMBER($D$12),ISNUMBER(Table412[[#This Row],[DDD90 (mg/kg bw/d)]])),$D$47/Table412[[#This Row],[DDD90 (mg/kg bw/d)]],"")</f>
        <v/>
      </c>
      <c r="J179" s="33" t="str">
        <f ca="1">IF(ISNUMBER(Table412[[#This Row],[TERmix]]),"Input provided","No input")</f>
        <v>No input</v>
      </c>
      <c r="K179" s="33"/>
      <c r="L179" s="37"/>
      <c r="P179" s="33"/>
    </row>
    <row r="180" spans="1:16" s="36" customFormat="1" ht="14.45" customHeight="1">
      <c r="A180" s="21"/>
      <c r="B180" s="195"/>
      <c r="C180" s="48" t="s">
        <v>181</v>
      </c>
      <c r="D180" s="48" t="s">
        <v>110</v>
      </c>
      <c r="E180" s="48" t="s">
        <v>238</v>
      </c>
      <c r="F180" s="50" t="s">
        <v>239</v>
      </c>
      <c r="G180" s="49">
        <v>17.2</v>
      </c>
      <c r="H18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80" s="394" t="str">
        <f ca="1">IF(AND(ISNUMBER($D$12),ISNUMBER(Table412[[#This Row],[DDD90 (mg/kg bw/d)]])),$D$47/Table412[[#This Row],[DDD90 (mg/kg bw/d)]],"")</f>
        <v/>
      </c>
      <c r="J180" s="33" t="str">
        <f ca="1">IF(ISNUMBER(Table412[[#This Row],[TERmix]]),"Input provided","No input")</f>
        <v>No input</v>
      </c>
      <c r="K180" s="33"/>
      <c r="L180" s="37"/>
      <c r="P180" s="33"/>
    </row>
    <row r="181" spans="1:16" s="36" customFormat="1" ht="14.45" customHeight="1">
      <c r="A181" s="21"/>
      <c r="B181" s="195"/>
      <c r="C181" s="48" t="s">
        <v>181</v>
      </c>
      <c r="D181" s="48" t="s">
        <v>111</v>
      </c>
      <c r="E181" s="48" t="s">
        <v>241</v>
      </c>
      <c r="F181" s="50" t="s">
        <v>242</v>
      </c>
      <c r="G181" s="49">
        <v>5.4</v>
      </c>
      <c r="H18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81" s="394" t="str">
        <f ca="1">IF(AND(ISNUMBER($D$12),ISNUMBER(Table412[[#This Row],[DDD90 (mg/kg bw/d)]])),$D$47/Table412[[#This Row],[DDD90 (mg/kg bw/d)]],"")</f>
        <v/>
      </c>
      <c r="J181" s="33" t="str">
        <f ca="1">IF(ISNUMBER(Table412[[#This Row],[TERmix]]),"Input provided","No input")</f>
        <v>No input</v>
      </c>
      <c r="K181" s="33"/>
      <c r="L181" s="37"/>
      <c r="P181" s="33"/>
    </row>
    <row r="182" spans="1:16" s="36" customFormat="1" ht="14.45" customHeight="1">
      <c r="A182" s="21"/>
      <c r="B182" s="195"/>
      <c r="C182" s="48" t="s">
        <v>181</v>
      </c>
      <c r="D182" s="48" t="s">
        <v>109</v>
      </c>
      <c r="E182" s="48" t="s">
        <v>243</v>
      </c>
      <c r="F182" s="50" t="s">
        <v>244</v>
      </c>
      <c r="G182" s="49">
        <v>54.6</v>
      </c>
      <c r="H18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82" s="394" t="str">
        <f ca="1">IF(AND(ISNUMBER($D$12),ISNUMBER(Table412[[#This Row],[DDD90 (mg/kg bw/d)]])),$D$47/Table412[[#This Row],[DDD90 (mg/kg bw/d)]],"")</f>
        <v/>
      </c>
      <c r="J182" s="33" t="str">
        <f ca="1">IF(ISNUMBER(Table412[[#This Row],[TERmix]]),"Input provided","No input")</f>
        <v>No input</v>
      </c>
      <c r="K182" s="33"/>
      <c r="L182" s="37"/>
      <c r="P182" s="33"/>
    </row>
    <row r="183" spans="1:16" s="36" customFormat="1" ht="14.45" customHeight="1">
      <c r="A183" s="21"/>
      <c r="B183" s="195"/>
      <c r="C183" s="48" t="s">
        <v>181</v>
      </c>
      <c r="D183" s="48" t="s">
        <v>109</v>
      </c>
      <c r="E183" s="48" t="s">
        <v>249</v>
      </c>
      <c r="F183" s="50" t="s">
        <v>250</v>
      </c>
      <c r="G183" s="49">
        <v>14</v>
      </c>
      <c r="H18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83" s="394" t="str">
        <f ca="1">IF(AND(ISNUMBER($D$12),ISNUMBER(Table412[[#This Row],[DDD90 (mg/kg bw/d)]])),$D$47/Table412[[#This Row],[DDD90 (mg/kg bw/d)]],"")</f>
        <v/>
      </c>
      <c r="J183" s="33" t="str">
        <f ca="1">IF(ISNUMBER(Table412[[#This Row],[TERmix]]),"Input provided","No input")</f>
        <v>No input</v>
      </c>
      <c r="K183" s="33"/>
      <c r="L183" s="37"/>
      <c r="P183" s="33"/>
    </row>
    <row r="184" spans="1:16" s="36" customFormat="1" ht="14.45" customHeight="1">
      <c r="A184" s="21"/>
      <c r="B184" s="195"/>
      <c r="C184" s="48" t="s">
        <v>181</v>
      </c>
      <c r="D184" s="48" t="s">
        <v>109</v>
      </c>
      <c r="E184" s="48" t="s">
        <v>238</v>
      </c>
      <c r="F184" s="50" t="s">
        <v>239</v>
      </c>
      <c r="G184" s="49">
        <v>6.9</v>
      </c>
      <c r="H18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84" s="394" t="str">
        <f ca="1">IF(AND(ISNUMBER($D$12),ISNUMBER(Table412[[#This Row],[DDD90 (mg/kg bw/d)]])),$D$47/Table412[[#This Row],[DDD90 (mg/kg bw/d)]],"")</f>
        <v/>
      </c>
      <c r="J184" s="33" t="str">
        <f ca="1">IF(ISNUMBER(Table412[[#This Row],[TERmix]]),"Input provided","No input")</f>
        <v>No input</v>
      </c>
      <c r="K184" s="33"/>
      <c r="L184" s="37"/>
      <c r="P184" s="33"/>
    </row>
    <row r="185" spans="1:16" s="36" customFormat="1" ht="14.45" customHeight="1">
      <c r="A185" s="21"/>
      <c r="B185" s="195"/>
      <c r="C185" s="48" t="s">
        <v>229</v>
      </c>
      <c r="D185" s="48" t="s">
        <v>108</v>
      </c>
      <c r="E185" s="48" t="s">
        <v>241</v>
      </c>
      <c r="F185" s="50" t="s">
        <v>242</v>
      </c>
      <c r="G185" s="49">
        <v>7.6</v>
      </c>
      <c r="H18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85" s="394" t="str">
        <f ca="1">IF(AND(ISNUMBER($D$12),ISNUMBER(Table412[[#This Row],[DDD90 (mg/kg bw/d)]])),$D$47/Table412[[#This Row],[DDD90 (mg/kg bw/d)]],"")</f>
        <v/>
      </c>
      <c r="J185" s="33" t="str">
        <f ca="1">IF(ISNUMBER(Table412[[#This Row],[TERmix]]),"Input provided","No input")</f>
        <v>No input</v>
      </c>
      <c r="K185" s="33"/>
      <c r="L185" s="37"/>
      <c r="P185" s="33"/>
    </row>
    <row r="186" spans="1:16" s="36" customFormat="1" ht="14.45" customHeight="1">
      <c r="A186" s="21"/>
      <c r="B186" s="195"/>
      <c r="C186" s="48" t="s">
        <v>229</v>
      </c>
      <c r="D186" s="48" t="s">
        <v>110</v>
      </c>
      <c r="E186" s="48" t="s">
        <v>249</v>
      </c>
      <c r="F186" s="50" t="s">
        <v>250</v>
      </c>
      <c r="G186" s="49">
        <v>35.1</v>
      </c>
      <c r="H18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86" s="394" t="str">
        <f ca="1">IF(AND(ISNUMBER($D$12),ISNUMBER(Table412[[#This Row],[DDD90 (mg/kg bw/d)]])),$D$47/Table412[[#This Row],[DDD90 (mg/kg bw/d)]],"")</f>
        <v/>
      </c>
      <c r="J186" s="33" t="str">
        <f ca="1">IF(ISNUMBER(Table412[[#This Row],[TERmix]]),"Input provided","No input")</f>
        <v>No input</v>
      </c>
      <c r="K186" s="33"/>
      <c r="L186" s="37"/>
      <c r="P186" s="33"/>
    </row>
    <row r="187" spans="1:16" s="36" customFormat="1" ht="14.45" customHeight="1">
      <c r="A187" s="21"/>
      <c r="B187" s="195"/>
      <c r="C187" s="48" t="s">
        <v>229</v>
      </c>
      <c r="D187" s="48" t="s">
        <v>110</v>
      </c>
      <c r="E187" s="48" t="s">
        <v>238</v>
      </c>
      <c r="F187" s="50" t="s">
        <v>239</v>
      </c>
      <c r="G187" s="49">
        <v>17.2</v>
      </c>
      <c r="H18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87" s="394" t="str">
        <f ca="1">IF(AND(ISNUMBER($D$12),ISNUMBER(Table412[[#This Row],[DDD90 (mg/kg bw/d)]])),$D$47/Table412[[#This Row],[DDD90 (mg/kg bw/d)]],"")</f>
        <v/>
      </c>
      <c r="J187" s="33" t="str">
        <f ca="1">IF(ISNUMBER(Table412[[#This Row],[TERmix]]),"Input provided","No input")</f>
        <v>No input</v>
      </c>
      <c r="K187" s="33"/>
      <c r="L187" s="37"/>
      <c r="P187" s="33"/>
    </row>
    <row r="188" spans="1:16" s="36" customFormat="1" ht="14.45" customHeight="1">
      <c r="A188" s="21"/>
      <c r="B188" s="195"/>
      <c r="C188" s="48" t="s">
        <v>229</v>
      </c>
      <c r="D188" s="48" t="s">
        <v>111</v>
      </c>
      <c r="E188" s="48" t="s">
        <v>241</v>
      </c>
      <c r="F188" s="50" t="s">
        <v>242</v>
      </c>
      <c r="G188" s="49">
        <v>5.4</v>
      </c>
      <c r="H18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88" s="394" t="str">
        <f ca="1">IF(AND(ISNUMBER($D$12),ISNUMBER(Table412[[#This Row],[DDD90 (mg/kg bw/d)]])),$D$47/Table412[[#This Row],[DDD90 (mg/kg bw/d)]],"")</f>
        <v/>
      </c>
      <c r="J188" s="33" t="str">
        <f ca="1">IF(ISNUMBER(Table412[[#This Row],[TERmix]]),"Input provided","No input")</f>
        <v>No input</v>
      </c>
      <c r="K188" s="33"/>
      <c r="L188" s="37"/>
      <c r="P188" s="33"/>
    </row>
    <row r="189" spans="1:16" s="36" customFormat="1" ht="14.45" customHeight="1">
      <c r="A189" s="21"/>
      <c r="B189" s="195"/>
      <c r="C189" s="48" t="s">
        <v>229</v>
      </c>
      <c r="D189" s="48" t="s">
        <v>109</v>
      </c>
      <c r="E189" s="48" t="s">
        <v>243</v>
      </c>
      <c r="F189" s="50" t="s">
        <v>244</v>
      </c>
      <c r="G189" s="49">
        <v>34.1</v>
      </c>
      <c r="H18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89" s="394" t="str">
        <f ca="1">IF(AND(ISNUMBER($D$12),ISNUMBER(Table412[[#This Row],[DDD90 (mg/kg bw/d)]])),$D$47/Table412[[#This Row],[DDD90 (mg/kg bw/d)]],"")</f>
        <v/>
      </c>
      <c r="J189" s="33" t="str">
        <f ca="1">IF(ISNUMBER(Table412[[#This Row],[TERmix]]),"Input provided","No input")</f>
        <v>No input</v>
      </c>
      <c r="K189" s="33"/>
      <c r="L189" s="37"/>
      <c r="P189" s="33"/>
    </row>
    <row r="190" spans="1:16" s="36" customFormat="1" ht="14.45" customHeight="1">
      <c r="A190" s="21"/>
      <c r="B190" s="195"/>
      <c r="C190" s="48" t="s">
        <v>229</v>
      </c>
      <c r="D190" s="48" t="s">
        <v>109</v>
      </c>
      <c r="E190" s="48" t="s">
        <v>249</v>
      </c>
      <c r="F190" s="50" t="s">
        <v>250</v>
      </c>
      <c r="G190" s="49">
        <v>8.8000000000000007</v>
      </c>
      <c r="H19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90" s="394" t="str">
        <f ca="1">IF(AND(ISNUMBER($D$12),ISNUMBER(Table412[[#This Row],[DDD90 (mg/kg bw/d)]])),$D$47/Table412[[#This Row],[DDD90 (mg/kg bw/d)]],"")</f>
        <v/>
      </c>
      <c r="J190" s="33" t="str">
        <f ca="1">IF(ISNUMBER(Table412[[#This Row],[TERmix]]),"Input provided","No input")</f>
        <v>No input</v>
      </c>
      <c r="K190" s="33"/>
      <c r="L190" s="37"/>
      <c r="P190" s="33"/>
    </row>
    <row r="191" spans="1:16" s="36" customFormat="1" ht="14.45" customHeight="1">
      <c r="A191" s="21"/>
      <c r="B191" s="195"/>
      <c r="C191" s="48" t="s">
        <v>229</v>
      </c>
      <c r="D191" s="48" t="s">
        <v>109</v>
      </c>
      <c r="E191" s="48" t="s">
        <v>238</v>
      </c>
      <c r="F191" s="50" t="s">
        <v>239</v>
      </c>
      <c r="G191" s="49">
        <v>4.3</v>
      </c>
      <c r="H19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91" s="394" t="str">
        <f ca="1">IF(AND(ISNUMBER($D$12),ISNUMBER(Table412[[#This Row],[DDD90 (mg/kg bw/d)]])),$D$47/Table412[[#This Row],[DDD90 (mg/kg bw/d)]],"")</f>
        <v/>
      </c>
      <c r="J191" s="33" t="str">
        <f ca="1">IF(ISNUMBER(Table412[[#This Row],[TERmix]]),"Input provided","No input")</f>
        <v>No input</v>
      </c>
      <c r="K191" s="33"/>
      <c r="L191" s="37"/>
      <c r="P191" s="33"/>
    </row>
    <row r="192" spans="1:16" s="36" customFormat="1" ht="14.45" customHeight="1">
      <c r="A192" s="21"/>
      <c r="B192" s="195"/>
      <c r="C192" s="48" t="s">
        <v>187</v>
      </c>
      <c r="D192" s="48" t="s">
        <v>108</v>
      </c>
      <c r="E192" s="48" t="s">
        <v>241</v>
      </c>
      <c r="F192" s="50" t="s">
        <v>242</v>
      </c>
      <c r="G192" s="49">
        <v>7.6</v>
      </c>
      <c r="H19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92" s="394" t="str">
        <f ca="1">IF(AND(ISNUMBER($D$12),ISNUMBER(Table412[[#This Row],[DDD90 (mg/kg bw/d)]])),$D$47/Table412[[#This Row],[DDD90 (mg/kg bw/d)]],"")</f>
        <v/>
      </c>
      <c r="J192" s="33" t="str">
        <f ca="1">IF(ISNUMBER(Table412[[#This Row],[TERmix]]),"Input provided","No input")</f>
        <v>No input</v>
      </c>
      <c r="K192" s="33"/>
      <c r="L192" s="37"/>
      <c r="P192" s="33"/>
    </row>
    <row r="193" spans="1:16" s="36" customFormat="1" ht="14.45" customHeight="1">
      <c r="A193" s="21"/>
      <c r="B193" s="195"/>
      <c r="C193" s="48" t="s">
        <v>187</v>
      </c>
      <c r="D193" s="48" t="s">
        <v>108</v>
      </c>
      <c r="E193" s="48" t="s">
        <v>249</v>
      </c>
      <c r="F193" s="50" t="s">
        <v>250</v>
      </c>
      <c r="G193" s="49">
        <v>35.1</v>
      </c>
      <c r="H19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93" s="394" t="str">
        <f ca="1">IF(AND(ISNUMBER($D$12),ISNUMBER(Table412[[#This Row],[DDD90 (mg/kg bw/d)]])),$D$47/Table412[[#This Row],[DDD90 (mg/kg bw/d)]],"")</f>
        <v/>
      </c>
      <c r="J193" s="33" t="str">
        <f ca="1">IF(ISNUMBER(Table412[[#This Row],[TERmix]]),"Input provided","No input")</f>
        <v>No input</v>
      </c>
      <c r="K193" s="33"/>
      <c r="L193" s="37"/>
      <c r="P193" s="33"/>
    </row>
    <row r="194" spans="1:16" s="36" customFormat="1" ht="14.45" customHeight="1">
      <c r="A194" s="21"/>
      <c r="B194" s="195"/>
      <c r="C194" s="48" t="s">
        <v>187</v>
      </c>
      <c r="D194" s="48" t="s">
        <v>108</v>
      </c>
      <c r="E194" s="48" t="s">
        <v>238</v>
      </c>
      <c r="F194" s="50" t="s">
        <v>239</v>
      </c>
      <c r="G194" s="49">
        <v>17.2</v>
      </c>
      <c r="H19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94" s="394" t="str">
        <f ca="1">IF(AND(ISNUMBER($D$12),ISNUMBER(Table412[[#This Row],[DDD90 (mg/kg bw/d)]])),$D$47/Table412[[#This Row],[DDD90 (mg/kg bw/d)]],"")</f>
        <v/>
      </c>
      <c r="J194" s="33" t="str">
        <f ca="1">IF(ISNUMBER(Table412[[#This Row],[TERmix]]),"Input provided","No input")</f>
        <v>No input</v>
      </c>
      <c r="K194" s="33"/>
      <c r="L194" s="37"/>
      <c r="P194" s="33"/>
    </row>
    <row r="195" spans="1:16" s="36" customFormat="1" ht="14.45" customHeight="1">
      <c r="A195" s="21"/>
      <c r="B195" s="195"/>
      <c r="C195" s="48" t="s">
        <v>187</v>
      </c>
      <c r="D195" s="48" t="s">
        <v>111</v>
      </c>
      <c r="E195" s="48" t="s">
        <v>238</v>
      </c>
      <c r="F195" s="50" t="s">
        <v>242</v>
      </c>
      <c r="G195" s="49">
        <v>5.4</v>
      </c>
      <c r="H19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95" s="394" t="str">
        <f ca="1">IF(AND(ISNUMBER($D$12),ISNUMBER(Table412[[#This Row],[DDD90 (mg/kg bw/d)]])),$D$47/Table412[[#This Row],[DDD90 (mg/kg bw/d)]],"")</f>
        <v/>
      </c>
      <c r="J195" s="33" t="str">
        <f ca="1">IF(ISNUMBER(Table412[[#This Row],[TERmix]]),"Input provided","No input")</f>
        <v>No input</v>
      </c>
      <c r="K195" s="33"/>
      <c r="L195" s="37"/>
      <c r="P195" s="33"/>
    </row>
    <row r="196" spans="1:16" s="36" customFormat="1" ht="14.45" customHeight="1">
      <c r="A196" s="21"/>
      <c r="B196" s="195"/>
      <c r="C196" s="48" t="s">
        <v>187</v>
      </c>
      <c r="D196" s="48" t="s">
        <v>146</v>
      </c>
      <c r="E196" s="48" t="s">
        <v>249</v>
      </c>
      <c r="F196" s="50" t="s">
        <v>250</v>
      </c>
      <c r="G196" s="49">
        <v>17.600000000000001</v>
      </c>
      <c r="H19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96" s="394" t="str">
        <f ca="1">IF(AND(ISNUMBER($D$12),ISNUMBER(Table412[[#This Row],[DDD90 (mg/kg bw/d)]])),$D$47/Table412[[#This Row],[DDD90 (mg/kg bw/d)]],"")</f>
        <v/>
      </c>
      <c r="J196" s="33" t="str">
        <f ca="1">IF(ISNUMBER(Table412[[#This Row],[TERmix]]),"Input provided","No input")</f>
        <v>No input</v>
      </c>
      <c r="K196" s="33"/>
      <c r="L196" s="37"/>
      <c r="P196" s="33"/>
    </row>
    <row r="197" spans="1:16" s="36" customFormat="1" ht="14.45" customHeight="1">
      <c r="A197" s="21"/>
      <c r="B197" s="195"/>
      <c r="C197" s="48" t="s">
        <v>187</v>
      </c>
      <c r="D197" s="48" t="s">
        <v>146</v>
      </c>
      <c r="E197" s="48" t="s">
        <v>238</v>
      </c>
      <c r="F197" s="50" t="s">
        <v>239</v>
      </c>
      <c r="G197" s="49">
        <v>8.6</v>
      </c>
      <c r="H19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97" s="394" t="str">
        <f ca="1">IF(AND(ISNUMBER($D$12),ISNUMBER(Table412[[#This Row],[DDD90 (mg/kg bw/d)]])),$D$47/Table412[[#This Row],[DDD90 (mg/kg bw/d)]],"")</f>
        <v/>
      </c>
      <c r="J197" s="33" t="str">
        <f ca="1">IF(ISNUMBER(Table412[[#This Row],[TERmix]]),"Input provided","No input")</f>
        <v>No input</v>
      </c>
      <c r="K197" s="33"/>
      <c r="L197" s="37"/>
      <c r="P197" s="33"/>
    </row>
    <row r="198" spans="1:16" s="36" customFormat="1" ht="14.45" customHeight="1">
      <c r="A198" s="21"/>
      <c r="B198" s="195"/>
      <c r="C198" s="48" t="s">
        <v>187</v>
      </c>
      <c r="D198" s="48" t="s">
        <v>109</v>
      </c>
      <c r="E198" s="48" t="s">
        <v>243</v>
      </c>
      <c r="F198" s="50" t="s">
        <v>244</v>
      </c>
      <c r="G198" s="49">
        <v>34.1</v>
      </c>
      <c r="H19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98" s="394" t="str">
        <f ca="1">IF(AND(ISNUMBER($D$12),ISNUMBER(Table412[[#This Row],[DDD90 (mg/kg bw/d)]])),$D$47/Table412[[#This Row],[DDD90 (mg/kg bw/d)]],"")</f>
        <v/>
      </c>
      <c r="J198" s="33" t="str">
        <f ca="1">IF(ISNUMBER(Table412[[#This Row],[TERmix]]),"Input provided","No input")</f>
        <v>No input</v>
      </c>
      <c r="K198" s="33"/>
      <c r="L198" s="37"/>
      <c r="P198" s="33"/>
    </row>
    <row r="199" spans="1:16" s="36" customFormat="1" ht="14.45" customHeight="1">
      <c r="A199" s="21"/>
      <c r="B199" s="195"/>
      <c r="C199" s="48" t="s">
        <v>187</v>
      </c>
      <c r="D199" s="48" t="s">
        <v>109</v>
      </c>
      <c r="E199" s="48" t="s">
        <v>249</v>
      </c>
      <c r="F199" s="50" t="s">
        <v>250</v>
      </c>
      <c r="G199" s="49">
        <v>8.8000000000000007</v>
      </c>
      <c r="H19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199" s="394" t="str">
        <f ca="1">IF(AND(ISNUMBER($D$12),ISNUMBER(Table412[[#This Row],[DDD90 (mg/kg bw/d)]])),$D$47/Table412[[#This Row],[DDD90 (mg/kg bw/d)]],"")</f>
        <v/>
      </c>
      <c r="J199" s="33" t="str">
        <f ca="1">IF(ISNUMBER(Table412[[#This Row],[TERmix]]),"Input provided","No input")</f>
        <v>No input</v>
      </c>
      <c r="K199" s="33"/>
      <c r="L199" s="37"/>
      <c r="P199" s="33"/>
    </row>
    <row r="200" spans="1:16" s="36" customFormat="1" ht="14.45" customHeight="1">
      <c r="A200" s="21"/>
      <c r="B200" s="195"/>
      <c r="C200" s="48" t="s">
        <v>187</v>
      </c>
      <c r="D200" s="48" t="s">
        <v>109</v>
      </c>
      <c r="E200" s="48" t="s">
        <v>238</v>
      </c>
      <c r="F200" s="50" t="s">
        <v>239</v>
      </c>
      <c r="G200" s="49">
        <v>4.3</v>
      </c>
      <c r="H20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00" s="394" t="str">
        <f ca="1">IF(AND(ISNUMBER($D$12),ISNUMBER(Table412[[#This Row],[DDD90 (mg/kg bw/d)]])),$D$47/Table412[[#This Row],[DDD90 (mg/kg bw/d)]],"")</f>
        <v/>
      </c>
      <c r="J200" s="33" t="str">
        <f ca="1">IF(ISNUMBER(Table412[[#This Row],[TERmix]]),"Input provided","No input")</f>
        <v>No input</v>
      </c>
      <c r="K200" s="33"/>
      <c r="L200" s="37"/>
      <c r="P200" s="33"/>
    </row>
    <row r="201" spans="1:16" s="36" customFormat="1" ht="14.45" customHeight="1">
      <c r="A201" s="21"/>
      <c r="B201" s="195"/>
      <c r="C201" s="48" t="s">
        <v>191</v>
      </c>
      <c r="D201" s="48" t="s">
        <v>267</v>
      </c>
      <c r="E201" s="48" t="s">
        <v>243</v>
      </c>
      <c r="F201" s="50" t="s">
        <v>244</v>
      </c>
      <c r="G201" s="49">
        <v>136.4</v>
      </c>
      <c r="H20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01" s="394" t="str">
        <f ca="1">IF(AND(ISNUMBER($D$12),ISNUMBER(Table412[[#This Row],[DDD90 (mg/kg bw/d)]])),$D$47/Table412[[#This Row],[DDD90 (mg/kg bw/d)]],"")</f>
        <v/>
      </c>
      <c r="J201" s="33" t="str">
        <f ca="1">IF(ISNUMBER(Table412[[#This Row],[TERmix]]),"Input provided","No input")</f>
        <v>No input</v>
      </c>
      <c r="K201" s="33"/>
      <c r="L201" s="37"/>
      <c r="P201" s="33"/>
    </row>
    <row r="202" spans="1:16" s="36" customFormat="1" ht="14.45" customHeight="1">
      <c r="A202" s="21"/>
      <c r="B202" s="195"/>
      <c r="C202" s="48" t="s">
        <v>191</v>
      </c>
      <c r="D202" s="48" t="s">
        <v>267</v>
      </c>
      <c r="E202" s="48" t="s">
        <v>238</v>
      </c>
      <c r="F202" s="50" t="s">
        <v>239</v>
      </c>
      <c r="G202" s="49">
        <v>17.2</v>
      </c>
      <c r="H20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02" s="394" t="str">
        <f ca="1">IF(AND(ISNUMBER($D$12),ISNUMBER(Table412[[#This Row],[DDD90 (mg/kg bw/d)]])),$D$47/Table412[[#This Row],[DDD90 (mg/kg bw/d)]],"")</f>
        <v/>
      </c>
      <c r="J202" s="33" t="str">
        <f ca="1">IF(ISNUMBER(Table412[[#This Row],[TERmix]]),"Input provided","No input")</f>
        <v>No input</v>
      </c>
      <c r="K202" s="33"/>
      <c r="L202" s="37"/>
      <c r="P202" s="33"/>
    </row>
    <row r="203" spans="1:16" s="36" customFormat="1" ht="14.45" customHeight="1">
      <c r="A203" s="21"/>
      <c r="B203" s="195"/>
      <c r="C203" s="48" t="s">
        <v>191</v>
      </c>
      <c r="D203" s="48" t="s">
        <v>258</v>
      </c>
      <c r="E203" s="48" t="s">
        <v>243</v>
      </c>
      <c r="F203" s="50" t="s">
        <v>244</v>
      </c>
      <c r="G203" s="49">
        <v>81.900000000000006</v>
      </c>
      <c r="H20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03" s="394" t="str">
        <f ca="1">IF(AND(ISNUMBER($D$12),ISNUMBER(Table412[[#This Row],[DDD90 (mg/kg bw/d)]])),$D$47/Table412[[#This Row],[DDD90 (mg/kg bw/d)]],"")</f>
        <v/>
      </c>
      <c r="J203" s="33" t="str">
        <f ca="1">IF(ISNUMBER(Table412[[#This Row],[TERmix]]),"Input provided","No input")</f>
        <v>No input</v>
      </c>
      <c r="K203" s="33"/>
      <c r="L203" s="37"/>
      <c r="P203" s="33"/>
    </row>
    <row r="204" spans="1:16" s="36" customFormat="1" ht="14.45" customHeight="1">
      <c r="A204" s="21"/>
      <c r="B204" s="195"/>
      <c r="C204" s="48" t="s">
        <v>191</v>
      </c>
      <c r="D204" s="48" t="s">
        <v>258</v>
      </c>
      <c r="E204" s="48" t="s">
        <v>238</v>
      </c>
      <c r="F204" s="50" t="s">
        <v>239</v>
      </c>
      <c r="G204" s="49">
        <v>10.3</v>
      </c>
      <c r="H20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04" s="394" t="str">
        <f ca="1">IF(AND(ISNUMBER($D$12),ISNUMBER(Table412[[#This Row],[DDD90 (mg/kg bw/d)]])),$D$47/Table412[[#This Row],[DDD90 (mg/kg bw/d)]],"")</f>
        <v/>
      </c>
      <c r="J204" s="33" t="str">
        <f ca="1">IF(ISNUMBER(Table412[[#This Row],[TERmix]]),"Input provided","No input")</f>
        <v>No input</v>
      </c>
      <c r="K204" s="33"/>
      <c r="L204" s="37"/>
      <c r="P204" s="33"/>
    </row>
    <row r="205" spans="1:16" s="36" customFormat="1" ht="14.45" customHeight="1">
      <c r="A205" s="21"/>
      <c r="B205" s="195"/>
      <c r="C205" s="48" t="s">
        <v>191</v>
      </c>
      <c r="D205" s="48" t="s">
        <v>172</v>
      </c>
      <c r="E205" s="48" t="s">
        <v>243</v>
      </c>
      <c r="F205" s="50" t="s">
        <v>244</v>
      </c>
      <c r="G205" s="49">
        <v>68.2</v>
      </c>
      <c r="H205"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05" s="394" t="str">
        <f ca="1">IF(AND(ISNUMBER($D$12),ISNUMBER(Table412[[#This Row],[DDD90 (mg/kg bw/d)]])),$D$47/Table412[[#This Row],[DDD90 (mg/kg bw/d)]],"")</f>
        <v/>
      </c>
      <c r="J205" s="33" t="str">
        <f ca="1">IF(ISNUMBER(Table412[[#This Row],[TERmix]]),"Input provided","No input")</f>
        <v>No input</v>
      </c>
      <c r="K205" s="33"/>
      <c r="L205" s="37"/>
      <c r="P205" s="33"/>
    </row>
    <row r="206" spans="1:16" s="36" customFormat="1" ht="14.45" customHeight="1">
      <c r="A206" s="21"/>
      <c r="B206" s="195"/>
      <c r="C206" s="48" t="s">
        <v>191</v>
      </c>
      <c r="D206" s="48" t="s">
        <v>172</v>
      </c>
      <c r="E206" s="48" t="s">
        <v>238</v>
      </c>
      <c r="F206" s="50" t="s">
        <v>239</v>
      </c>
      <c r="G206" s="49">
        <v>8.6</v>
      </c>
      <c r="H206"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06" s="394" t="str">
        <f ca="1">IF(AND(ISNUMBER($D$12),ISNUMBER(Table412[[#This Row],[DDD90 (mg/kg bw/d)]])),$D$47/Table412[[#This Row],[DDD90 (mg/kg bw/d)]],"")</f>
        <v/>
      </c>
      <c r="J206" s="33" t="str">
        <f ca="1">IF(ISNUMBER(Table412[[#This Row],[TERmix]]),"Input provided","No input")</f>
        <v>No input</v>
      </c>
      <c r="K206" s="33"/>
      <c r="L206" s="37"/>
      <c r="P206" s="33"/>
    </row>
    <row r="207" spans="1:16" s="36" customFormat="1" ht="14.45" customHeight="1">
      <c r="A207" s="21"/>
      <c r="B207" s="195"/>
      <c r="C207" s="48" t="s">
        <v>191</v>
      </c>
      <c r="D207" s="48" t="s">
        <v>267</v>
      </c>
      <c r="E207" s="48" t="s">
        <v>249</v>
      </c>
      <c r="F207" s="50" t="s">
        <v>255</v>
      </c>
      <c r="G207" s="49">
        <v>27.2</v>
      </c>
      <c r="H207"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07" s="394" t="str">
        <f ca="1">IF(AND(ISNUMBER($D$12),ISNUMBER(Table412[[#This Row],[DDD90 (mg/kg bw/d)]])),$D$47/Table412[[#This Row],[DDD90 (mg/kg bw/d)]],"")</f>
        <v/>
      </c>
      <c r="J207" s="33" t="str">
        <f ca="1">IF(ISNUMBER(Table412[[#This Row],[TERmix]]),"Input provided","No input")</f>
        <v>No input</v>
      </c>
      <c r="K207" s="33"/>
      <c r="L207" s="37"/>
      <c r="P207" s="33"/>
    </row>
    <row r="208" spans="1:16" s="36" customFormat="1" ht="14.45" customHeight="1">
      <c r="A208" s="21"/>
      <c r="B208" s="195"/>
      <c r="C208" s="48" t="s">
        <v>191</v>
      </c>
      <c r="D208" s="48" t="s">
        <v>108</v>
      </c>
      <c r="E208" s="48" t="s">
        <v>249</v>
      </c>
      <c r="F208" s="50" t="s">
        <v>255</v>
      </c>
      <c r="G208" s="49">
        <v>16.3</v>
      </c>
      <c r="H208"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08" s="394" t="str">
        <f ca="1">IF(AND(ISNUMBER($D$12),ISNUMBER(Table412[[#This Row],[DDD90 (mg/kg bw/d)]])),$D$47/Table412[[#This Row],[DDD90 (mg/kg bw/d)]],"")</f>
        <v/>
      </c>
      <c r="J208" s="33" t="str">
        <f ca="1">IF(ISNUMBER(Table412[[#This Row],[TERmix]]),"Input provided","No input")</f>
        <v>No input</v>
      </c>
      <c r="K208" s="33"/>
      <c r="L208" s="37"/>
      <c r="P208" s="33"/>
    </row>
    <row r="209" spans="1:16" s="36" customFormat="1" ht="14.45" customHeight="1">
      <c r="A209" s="21"/>
      <c r="B209" s="195"/>
      <c r="C209" s="48" t="s">
        <v>191</v>
      </c>
      <c r="D209" s="48" t="s">
        <v>108</v>
      </c>
      <c r="E209" s="48" t="s">
        <v>241</v>
      </c>
      <c r="F209" s="50" t="s">
        <v>242</v>
      </c>
      <c r="G209" s="49">
        <v>7.6</v>
      </c>
      <c r="H209"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09" s="394" t="str">
        <f ca="1">IF(AND(ISNUMBER($D$12),ISNUMBER(Table412[[#This Row],[DDD90 (mg/kg bw/d)]])),$D$47/Table412[[#This Row],[DDD90 (mg/kg bw/d)]],"")</f>
        <v/>
      </c>
      <c r="J209" s="33" t="str">
        <f ca="1">IF(ISNUMBER(Table412[[#This Row],[TERmix]]),"Input provided","No input")</f>
        <v>No input</v>
      </c>
      <c r="K209" s="33"/>
      <c r="L209" s="37"/>
      <c r="P209" s="33"/>
    </row>
    <row r="210" spans="1:16" s="36" customFormat="1" ht="14.45" customHeight="1">
      <c r="A210" s="21"/>
      <c r="B210" s="195"/>
      <c r="C210" s="48" t="s">
        <v>191</v>
      </c>
      <c r="D210" s="48" t="s">
        <v>146</v>
      </c>
      <c r="E210" s="48" t="s">
        <v>249</v>
      </c>
      <c r="F210" s="50" t="s">
        <v>255</v>
      </c>
      <c r="G210" s="49">
        <v>13.6</v>
      </c>
      <c r="H210"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10" s="394" t="str">
        <f ca="1">IF(AND(ISNUMBER($D$12),ISNUMBER(Table412[[#This Row],[DDD90 (mg/kg bw/d)]])),$D$47/Table412[[#This Row],[DDD90 (mg/kg bw/d)]],"")</f>
        <v/>
      </c>
      <c r="J210" s="33" t="str">
        <f ca="1">IF(ISNUMBER(Table412[[#This Row],[TERmix]]),"Input provided","No input")</f>
        <v>No input</v>
      </c>
      <c r="K210" s="33"/>
      <c r="L210" s="37"/>
      <c r="P210" s="33"/>
    </row>
    <row r="211" spans="1:16" s="36" customFormat="1" ht="14.45" customHeight="1">
      <c r="A211" s="21"/>
      <c r="B211" s="195"/>
      <c r="C211" s="48" t="s">
        <v>191</v>
      </c>
      <c r="D211" s="48" t="s">
        <v>111</v>
      </c>
      <c r="E211" s="48" t="s">
        <v>241</v>
      </c>
      <c r="F211" s="50" t="s">
        <v>242</v>
      </c>
      <c r="G211" s="49">
        <v>5.4</v>
      </c>
      <c r="H211"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11" s="394" t="str">
        <f ca="1">IF(AND(ISNUMBER($D$12),ISNUMBER(Table412[[#This Row],[DDD90 (mg/kg bw/d)]])),$D$47/Table412[[#This Row],[DDD90 (mg/kg bw/d)]],"")</f>
        <v/>
      </c>
      <c r="J211" s="33" t="str">
        <f ca="1">IF(ISNUMBER(Table412[[#This Row],[TERmix]]),"Input provided","No input")</f>
        <v>No input</v>
      </c>
      <c r="K211" s="33"/>
      <c r="L211" s="37"/>
      <c r="P211" s="33"/>
    </row>
    <row r="212" spans="1:16" s="36" customFormat="1" ht="14.45" customHeight="1">
      <c r="A212" s="21"/>
      <c r="B212" s="195"/>
      <c r="C212" s="48" t="s">
        <v>191</v>
      </c>
      <c r="D212" s="48" t="s">
        <v>109</v>
      </c>
      <c r="E212" s="48" t="s">
        <v>249</v>
      </c>
      <c r="F212" s="50" t="s">
        <v>255</v>
      </c>
      <c r="G212" s="49">
        <v>8.1</v>
      </c>
      <c r="H212"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12" s="394" t="str">
        <f ca="1">IF(AND(ISNUMBER($D$12),ISNUMBER(Table412[[#This Row],[DDD90 (mg/kg bw/d)]])),$D$47/Table412[[#This Row],[DDD90 (mg/kg bw/d)]],"")</f>
        <v/>
      </c>
      <c r="J212" s="33" t="str">
        <f ca="1">IF(ISNUMBER(Table412[[#This Row],[TERmix]]),"Input provided","No input")</f>
        <v>No input</v>
      </c>
      <c r="K212" s="33"/>
      <c r="L212" s="37"/>
      <c r="P212" s="33"/>
    </row>
    <row r="213" spans="1:16" s="36" customFormat="1" ht="14.45" customHeight="1">
      <c r="A213" s="21"/>
      <c r="B213" s="195"/>
      <c r="C213" s="48" t="s">
        <v>191</v>
      </c>
      <c r="D213" s="48" t="s">
        <v>173</v>
      </c>
      <c r="E213" s="48" t="s">
        <v>243</v>
      </c>
      <c r="F213" s="50" t="s">
        <v>244</v>
      </c>
      <c r="G213" s="49">
        <v>40.9</v>
      </c>
      <c r="H213"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13" s="394" t="str">
        <f ca="1">IF(AND(ISNUMBER($D$12),ISNUMBER(Table412[[#This Row],[DDD90 (mg/kg bw/d)]])),$D$47/Table412[[#This Row],[DDD90 (mg/kg bw/d)]],"")</f>
        <v/>
      </c>
      <c r="J213" s="33" t="str">
        <f ca="1">IF(ISNUMBER(Table412[[#This Row],[TERmix]]),"Input provided","No input")</f>
        <v>No input</v>
      </c>
      <c r="K213" s="33"/>
      <c r="L213" s="37"/>
      <c r="P213" s="33"/>
    </row>
    <row r="214" spans="1:16" s="36" customFormat="1" ht="14.45" customHeight="1">
      <c r="A214" s="21"/>
      <c r="B214" s="195"/>
      <c r="C214" s="48" t="s">
        <v>191</v>
      </c>
      <c r="D214" s="48" t="s">
        <v>173</v>
      </c>
      <c r="E214" s="48" t="s">
        <v>238</v>
      </c>
      <c r="F214" s="50" t="s">
        <v>239</v>
      </c>
      <c r="G214" s="49">
        <v>5.2</v>
      </c>
      <c r="H214" s="393" t="str">
        <f>IF(AND(ISNUMBER(Table412[[#This Row],[SV90]]),ISNUMBER(HLOOKUP(Table412[[#This Row],[Crop]],Input_Scenario,10,FALSE)),ISNUMBER(HLOOKUP(Table412[[#This Row],[Crop]],Input_Scenario,5,FALSE))),Table412[[#This Row],[SV90]]*HLOOKUP(Table412[[#This Row],[Crop]],Input_Scenario,10,FALSE)*HLOOKUP(Table412[[#This Row],[Crop]],Input_Scenario,5,FALSE),"")</f>
        <v/>
      </c>
      <c r="I214" s="394" t="str">
        <f ca="1">IF(AND(ISNUMBER($D$12),ISNUMBER(Table412[[#This Row],[DDD90 (mg/kg bw/d)]])),$D$47/Table412[[#This Row],[DDD90 (mg/kg bw/d)]],"")</f>
        <v/>
      </c>
      <c r="J214" s="33" t="str">
        <f ca="1">IF(ISNUMBER(Table412[[#This Row],[TERmix]]),"Input provided","No input")</f>
        <v>No input</v>
      </c>
      <c r="K214" s="33"/>
      <c r="L214" s="37"/>
      <c r="P214" s="33"/>
    </row>
    <row r="215" spans="1:16" ht="14.45" customHeight="1">
      <c r="A215" s="21"/>
      <c r="B215" s="21"/>
      <c r="C215" s="22"/>
      <c r="D215" s="23"/>
      <c r="E215" s="21"/>
      <c r="F215" s="21"/>
      <c r="G215" s="17"/>
      <c r="H215" s="17"/>
      <c r="I215" s="17"/>
      <c r="O215" s="8"/>
    </row>
    <row r="216" spans="1:16" ht="21" customHeight="1">
      <c r="C216" s="91" t="s">
        <v>268</v>
      </c>
    </row>
    <row r="217" spans="1:16" ht="12.75" customHeight="1"/>
    <row r="218" spans="1:16" ht="12.75" customHeight="1"/>
    <row r="219" spans="1:16" ht="12.75" customHeight="1"/>
    <row r="220" spans="1:16" ht="12.75" customHeight="1"/>
    <row r="221" spans="1:16" ht="12.75" customHeight="1"/>
    <row r="222" spans="1:16" ht="12.75" customHeight="1"/>
    <row r="223" spans="1:16" ht="12.75" customHeight="1"/>
    <row r="224" spans="1:16" ht="12.75" customHeight="1"/>
    <row r="225" spans="3:11" ht="15">
      <c r="C225" s="112"/>
    </row>
    <row r="226" spans="3:11">
      <c r="C226" s="42"/>
    </row>
    <row r="227" spans="3:11">
      <c r="C227" s="42"/>
    </row>
    <row r="228" spans="3:11">
      <c r="C228" s="42"/>
    </row>
    <row r="229" spans="3:11">
      <c r="C229" s="42"/>
    </row>
    <row r="230" spans="3:11">
      <c r="C230" s="42"/>
    </row>
    <row r="231" spans="3:11">
      <c r="C231" s="458" t="s">
        <v>197</v>
      </c>
      <c r="D231" s="458"/>
      <c r="E231" s="458"/>
      <c r="F231" s="458"/>
      <c r="G231" s="458"/>
      <c r="H231" s="458"/>
      <c r="I231" s="458"/>
      <c r="J231" s="458"/>
      <c r="K231" s="458"/>
    </row>
    <row r="232" spans="3:11">
      <c r="C232" s="458"/>
      <c r="D232" s="458"/>
      <c r="E232" s="458"/>
      <c r="F232" s="458"/>
      <c r="G232" s="458"/>
      <c r="H232" s="458"/>
      <c r="I232" s="458"/>
      <c r="J232" s="458"/>
      <c r="K232" s="458"/>
    </row>
    <row r="233" spans="3:11">
      <c r="C233" s="332" t="s">
        <v>198</v>
      </c>
      <c r="J233" s="59"/>
      <c r="K233" s="59"/>
    </row>
    <row r="234" spans="3:11">
      <c r="C234" s="42"/>
    </row>
    <row r="235" spans="3:11">
      <c r="C235" s="42"/>
    </row>
    <row r="236" spans="3:11">
      <c r="C236" s="42"/>
    </row>
    <row r="237" spans="3:11">
      <c r="C237" s="42"/>
    </row>
    <row r="238" spans="3:11">
      <c r="C238" s="42"/>
    </row>
    <row r="239" spans="3:11">
      <c r="C239" s="42"/>
    </row>
    <row r="240" spans="3:11">
      <c r="C240" s="42"/>
    </row>
    <row r="241" spans="3:3">
      <c r="C241" s="42"/>
    </row>
    <row r="242" spans="3:3">
      <c r="C242" s="42"/>
    </row>
    <row r="243" spans="3:3">
      <c r="C243" s="42"/>
    </row>
    <row r="244" spans="3:3">
      <c r="C244" s="42"/>
    </row>
    <row r="245" spans="3:3">
      <c r="C245" s="42"/>
    </row>
    <row r="246" spans="3:3">
      <c r="C246" s="42"/>
    </row>
    <row r="247" spans="3:3">
      <c r="C247" s="42"/>
    </row>
    <row r="248" spans="3:3">
      <c r="C248" s="42"/>
    </row>
    <row r="249" spans="3:3">
      <c r="C249" s="42"/>
    </row>
    <row r="250" spans="3:3">
      <c r="C250" s="42"/>
    </row>
    <row r="251" spans="3:3">
      <c r="C251" s="42"/>
    </row>
    <row r="252" spans="3:3">
      <c r="C252" s="42"/>
    </row>
    <row r="253" spans="3:3">
      <c r="C253" s="42"/>
    </row>
    <row r="254" spans="3:3">
      <c r="C254" s="42"/>
    </row>
    <row r="255" spans="3:3">
      <c r="C255" s="42"/>
    </row>
    <row r="256" spans="3:3">
      <c r="C256" s="42"/>
    </row>
    <row r="257" spans="3:3">
      <c r="C257" s="42"/>
    </row>
    <row r="258" spans="3:3">
      <c r="C258" s="42"/>
    </row>
    <row r="259" spans="3:3">
      <c r="C259" s="42"/>
    </row>
    <row r="260" spans="3:3">
      <c r="C260" s="42"/>
    </row>
    <row r="261" spans="3:3">
      <c r="C261" s="42"/>
    </row>
    <row r="262" spans="3:3">
      <c r="C262" s="42"/>
    </row>
    <row r="263" spans="3:3">
      <c r="C263" s="42"/>
    </row>
    <row r="264" spans="3:3">
      <c r="C264" s="42"/>
    </row>
    <row r="265" spans="3:3">
      <c r="C265" s="42"/>
    </row>
    <row r="266" spans="3:3">
      <c r="C266" s="42"/>
    </row>
    <row r="267" spans="3:3">
      <c r="C267" s="42"/>
    </row>
    <row r="268" spans="3:3">
      <c r="C268" s="42"/>
    </row>
  </sheetData>
  <sheetProtection algorithmName="SHA-512" hashValue="qBHvyn1iTXSQtM+IXvWuNPgDV5kAhvJsG+RJyCZXUylq6jTXDMXS245QNUELljO0pvXQ7NiC9BS3z6Og4lTKnA==" saltValue="69sopNhuCJbqY7AahKAuxg==" spinCount="100000" sheet="1" objects="1" scenarios="1" formatColumns="0" formatRows="0" sort="0" autoFilter="0" pivotTables="0"/>
  <mergeCells count="10">
    <mergeCell ref="C231:K232"/>
    <mergeCell ref="C27:F27"/>
    <mergeCell ref="G29:G34"/>
    <mergeCell ref="C2:G3"/>
    <mergeCell ref="C21:E22"/>
    <mergeCell ref="C30:D30"/>
    <mergeCell ref="C36:E37"/>
    <mergeCell ref="C41:F43"/>
    <mergeCell ref="C44:F44"/>
    <mergeCell ref="C45:F45"/>
  </mergeCells>
  <conditionalFormatting sqref="I63:I214">
    <cfRule type="expression" dxfId="152" priority="12">
      <formula>AND(ISNUMBER(I63),I63&lt;=10)</formula>
    </cfRule>
    <cfRule type="expression" dxfId="151" priority="13">
      <formula>AND(ISNUMBER(I63),I63&gt;10)</formula>
    </cfRule>
  </conditionalFormatting>
  <conditionalFormatting sqref="D18:H18">
    <cfRule type="dataBar" priority="11">
      <dataBar>
        <cfvo type="num" val="0"/>
        <cfvo type="num" val="1"/>
        <color rgb="FFFFD85B"/>
      </dataBar>
      <extLst>
        <ext xmlns:x14="http://schemas.microsoft.com/office/spreadsheetml/2009/9/main" uri="{B025F937-C7B1-47D3-B67F-A62EFF666E3E}">
          <x14:id>{ABAF44B3-6103-4425-9E5C-6FDB7B5002B4}</x14:id>
        </ext>
      </extLst>
    </cfRule>
  </conditionalFormatting>
  <conditionalFormatting sqref="A26:N38">
    <cfRule type="expression" dxfId="150" priority="7">
      <formula>Step2="Passive"</formula>
    </cfRule>
  </conditionalFormatting>
  <conditionalFormatting sqref="H63:I214">
    <cfRule type="expression" dxfId="149" priority="16">
      <formula>NOT(ISNUMBER($I63))</formula>
    </cfRule>
  </conditionalFormatting>
  <conditionalFormatting sqref="E33">
    <cfRule type="expression" dxfId="148" priority="17">
      <formula>AND(ISNUMBER(SEARCH("2b",$C$29)),$E$32&lt;0)</formula>
    </cfRule>
  </conditionalFormatting>
  <conditionalFormatting sqref="G29:G34 E32">
    <cfRule type="expression" dxfId="147" priority="10">
      <formula>AND(ISNUMBER($E$32),$E$32&lt;0)</formula>
    </cfRule>
  </conditionalFormatting>
  <conditionalFormatting sqref="C63:G214">
    <cfRule type="expression" dxfId="146" priority="4">
      <formula>NOT(ISNUMBER($I63))</formula>
    </cfRule>
  </conditionalFormatting>
  <conditionalFormatting sqref="A6:N24">
    <cfRule type="expression" dxfId="145" priority="1">
      <formula>$B$5="Passive"</formula>
    </cfRule>
  </conditionalFormatting>
  <conditionalFormatting sqref="G29:G34">
    <cfRule type="expression" dxfId="144" priority="9">
      <formula>AND(ISNUMBER($E$32),$E$32&gt;=0)</formula>
    </cfRule>
  </conditionalFormatting>
  <dataValidations count="1">
    <dataValidation type="list" allowBlank="1" showInputMessage="1" showErrorMessage="1" sqref="E33" xr:uid="{3F691184-1838-42AC-B047-D608BB46C9EE}">
      <formula1>"Yes, No"</formula1>
    </dataValidation>
  </dataValidations>
  <hyperlinks>
    <hyperlink ref="C233" r:id="rId1" xr:uid="{90A69B87-97B6-4EB4-B9EF-58FD7C02D34E}"/>
  </hyperlinks>
  <pageMargins left="0.7" right="0.7" top="0.75" bottom="0.75" header="0.3" footer="0.3"/>
  <pageSetup paperSize="9" orientation="portrait"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ABAF44B3-6103-4425-9E5C-6FDB7B5002B4}">
            <x14:dataBar minLength="0" maxLength="100" border="1" gradient="0">
              <x14:cfvo type="num">
                <xm:f>0</xm:f>
              </x14:cfvo>
              <x14:cfvo type="num">
                <xm:f>1</xm:f>
              </x14:cfvo>
              <x14:borderColor theme="7" tint="-0.249977111117893"/>
              <x14:negativeFillColor rgb="FFFF0000"/>
              <x14:axisColor rgb="FF000000"/>
            </x14:dataBar>
          </x14:cfRule>
          <xm:sqref>D18:H18</xm:sqref>
        </x14:conditionalFormatting>
        <x14:conditionalFormatting xmlns:xm="http://schemas.microsoft.com/office/excel/2006/main">
          <x14:cfRule type="expression" priority="745" id="{0211DBC5-26C8-4C16-BD28-230A322D9A40}">
            <xm:f>ISNUMBER(Input!C$20)</xm:f>
            <x14:dxf>
              <font>
                <b/>
                <i val="0"/>
                <color theme="8" tint="-0.24994659260841701"/>
              </font>
              <fill>
                <patternFill>
                  <bgColor theme="4" tint="0.79998168889431442"/>
                </patternFill>
              </fill>
              <border>
                <left/>
                <right/>
                <top/>
                <bottom style="thin">
                  <color auto="1"/>
                </bottom>
                <vertical/>
                <horizontal/>
              </border>
            </x14:dxf>
          </x14:cfRule>
          <xm:sqref>D15:H15</xm:sqref>
        </x14:conditionalFormatting>
        <x14:conditionalFormatting xmlns:xm="http://schemas.microsoft.com/office/excel/2006/main">
          <x14:cfRule type="expression" priority="746" id="{BF5CBE7D-4283-42E3-BC08-D5AE9913A99A}">
            <xm:f>ISNUMBER(Input!C$20)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D16:H18</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462B4-970C-4786-AEB1-3774B7E4CA5D}">
  <dimension ref="A1:AG277"/>
  <sheetViews>
    <sheetView zoomScaleNormal="100" workbookViewId="0">
      <selection activeCell="C29" sqref="C29"/>
    </sheetView>
  </sheetViews>
  <sheetFormatPr defaultRowHeight="15"/>
  <cols>
    <col min="1" max="1" width="9.140625" style="57"/>
    <col min="2" max="2" width="11.5703125" style="59" hidden="1" customWidth="1"/>
    <col min="3" max="3" width="23" style="57" customWidth="1"/>
    <col min="4" max="4" width="31.85546875" style="57" customWidth="1"/>
    <col min="5" max="5" width="25.85546875" style="57" customWidth="1"/>
    <col min="6" max="6" width="12.140625" style="57" customWidth="1"/>
    <col min="7" max="8" width="13.85546875" style="57" customWidth="1"/>
    <col min="9" max="17" width="13.85546875" style="59" customWidth="1"/>
    <col min="18" max="18" width="13.85546875" style="57" customWidth="1"/>
    <col min="19" max="33" width="9" style="308"/>
  </cols>
  <sheetData>
    <row r="1" spans="1:18">
      <c r="A1" s="3"/>
      <c r="B1" s="47"/>
      <c r="C1" s="3"/>
      <c r="D1" s="3"/>
      <c r="E1" s="3"/>
      <c r="F1" s="3"/>
      <c r="G1" s="3"/>
      <c r="H1" s="3"/>
      <c r="I1" s="47"/>
      <c r="J1" s="47"/>
      <c r="K1" s="47"/>
      <c r="L1" s="47"/>
      <c r="M1" s="47"/>
      <c r="N1" s="47"/>
      <c r="O1" s="47"/>
      <c r="P1" s="47"/>
      <c r="Q1" s="47"/>
      <c r="R1" s="3"/>
    </row>
    <row r="2" spans="1:18">
      <c r="A2" s="3"/>
      <c r="B2" s="47"/>
      <c r="C2" s="3"/>
      <c r="D2" s="3"/>
      <c r="E2" s="3"/>
      <c r="F2" s="3"/>
      <c r="G2" s="3"/>
      <c r="H2" s="3"/>
      <c r="I2" s="47"/>
      <c r="J2" s="47"/>
      <c r="K2" s="47"/>
      <c r="L2" s="47"/>
      <c r="M2" s="47"/>
      <c r="N2" s="47"/>
      <c r="O2" s="47"/>
      <c r="P2" s="47"/>
      <c r="Q2" s="47"/>
      <c r="R2" s="3"/>
    </row>
    <row r="3" spans="1:18" ht="21.75" customHeight="1">
      <c r="A3" s="358"/>
      <c r="B3" s="359" t="str">
        <f ca="1">IF(AND(Process!E5=TRUE,Process!E9=TRUE),"Active","Passive")</f>
        <v>Passive</v>
      </c>
      <c r="C3" s="475" t="s">
        <v>269</v>
      </c>
      <c r="D3" s="475"/>
      <c r="E3" s="475"/>
      <c r="F3" s="475"/>
      <c r="G3" s="475"/>
      <c r="H3" s="475"/>
      <c r="I3" s="475"/>
      <c r="J3" s="475"/>
      <c r="K3" s="475"/>
      <c r="L3" s="475"/>
      <c r="M3" s="475"/>
      <c r="N3" s="475"/>
      <c r="O3" s="475"/>
      <c r="P3" s="475"/>
      <c r="Q3" s="475"/>
      <c r="R3" s="475"/>
    </row>
    <row r="4" spans="1:18" ht="18">
      <c r="A4" s="3"/>
      <c r="B4" s="47"/>
      <c r="C4" s="51"/>
      <c r="D4" s="51"/>
      <c r="E4" s="3"/>
      <c r="F4" s="3"/>
      <c r="G4" s="3"/>
      <c r="H4" s="3"/>
      <c r="I4" s="47"/>
      <c r="J4" s="47"/>
      <c r="K4" s="47"/>
      <c r="L4" s="47"/>
      <c r="M4" s="47"/>
      <c r="N4" s="47"/>
      <c r="O4" s="47"/>
      <c r="P4" s="47"/>
      <c r="Q4" s="47"/>
      <c r="R4" s="3"/>
    </row>
    <row r="5" spans="1:18" ht="21" customHeight="1">
      <c r="A5" s="3"/>
      <c r="B5" s="47"/>
      <c r="C5" s="51"/>
      <c r="D5" s="51"/>
      <c r="E5" s="51"/>
      <c r="F5" s="51"/>
      <c r="G5" s="51"/>
      <c r="H5" s="51"/>
      <c r="I5" s="108"/>
      <c r="J5" s="108"/>
      <c r="K5" s="108"/>
      <c r="L5" s="47"/>
      <c r="M5" s="47"/>
      <c r="N5" s="47"/>
      <c r="O5" s="47"/>
      <c r="P5" s="47"/>
      <c r="Q5" s="47"/>
      <c r="R5" s="3"/>
    </row>
    <row r="6" spans="1:18" ht="21" customHeight="1">
      <c r="A6" s="3"/>
      <c r="B6" s="47"/>
      <c r="C6" s="51"/>
      <c r="D6" s="51"/>
      <c r="E6" s="51"/>
      <c r="F6" s="51"/>
      <c r="G6" s="51"/>
      <c r="H6" s="51"/>
      <c r="I6" s="108"/>
      <c r="J6" s="108"/>
      <c r="K6" s="108"/>
      <c r="L6" s="47"/>
      <c r="M6" s="3"/>
      <c r="N6" s="3"/>
      <c r="O6" s="3"/>
      <c r="P6" s="3"/>
      <c r="Q6" s="47"/>
      <c r="R6" s="3"/>
    </row>
    <row r="7" spans="1:18" ht="21" customHeight="1">
      <c r="A7" s="3"/>
      <c r="B7" s="47"/>
      <c r="C7" s="51"/>
      <c r="D7" s="51"/>
      <c r="E7" s="51"/>
      <c r="F7" s="51"/>
      <c r="G7" s="51"/>
      <c r="H7" s="51"/>
      <c r="I7" s="108"/>
      <c r="J7" s="108"/>
      <c r="K7" s="108"/>
      <c r="L7" s="47"/>
      <c r="M7" s="3"/>
      <c r="N7" s="3"/>
      <c r="O7" s="3"/>
      <c r="P7" s="3"/>
      <c r="Q7" s="47"/>
      <c r="R7" s="3"/>
    </row>
    <row r="8" spans="1:18" ht="18">
      <c r="A8" s="3"/>
      <c r="B8" s="47"/>
      <c r="C8" s="51"/>
      <c r="D8" s="51"/>
      <c r="E8" s="51"/>
      <c r="F8" s="51"/>
      <c r="G8" s="51"/>
      <c r="H8" s="51"/>
      <c r="I8" s="108"/>
      <c r="J8" s="108"/>
      <c r="K8" s="108"/>
      <c r="L8" s="47"/>
      <c r="M8" s="3"/>
      <c r="N8" s="3"/>
      <c r="O8" s="3"/>
      <c r="P8" s="3"/>
      <c r="Q8" s="47"/>
      <c r="R8" s="3"/>
    </row>
    <row r="9" spans="1:18" ht="18">
      <c r="A9" s="3"/>
      <c r="B9" s="47"/>
      <c r="C9" s="51"/>
      <c r="D9" s="51"/>
      <c r="E9" s="51"/>
      <c r="F9" s="51"/>
      <c r="G9" s="51"/>
      <c r="H9" s="51"/>
      <c r="I9" s="109"/>
      <c r="J9" s="109"/>
      <c r="K9" s="109"/>
      <c r="L9" s="47"/>
      <c r="M9" s="3"/>
      <c r="N9" s="3"/>
      <c r="O9" s="3"/>
      <c r="P9" s="3"/>
      <c r="Q9" s="47"/>
      <c r="R9" s="3"/>
    </row>
    <row r="10" spans="1:18" ht="18">
      <c r="A10" s="3"/>
      <c r="B10" s="47"/>
      <c r="C10" s="51"/>
      <c r="D10" s="51"/>
      <c r="E10" s="51"/>
      <c r="F10" s="51"/>
      <c r="G10" s="51"/>
      <c r="H10" s="51"/>
      <c r="I10" s="110"/>
      <c r="J10" s="110"/>
      <c r="K10" s="110"/>
      <c r="L10" s="47"/>
      <c r="M10" s="3"/>
      <c r="N10" s="3"/>
      <c r="O10" s="3"/>
      <c r="P10" s="3"/>
      <c r="Q10" s="47"/>
      <c r="R10" s="3"/>
    </row>
    <row r="11" spans="1:18">
      <c r="A11" s="3"/>
      <c r="B11" s="47"/>
      <c r="C11" s="116"/>
      <c r="D11" s="52"/>
      <c r="E11" s="52"/>
      <c r="F11" s="3"/>
      <c r="G11" s="3"/>
      <c r="H11" s="52"/>
      <c r="I11" s="52"/>
      <c r="J11" s="52"/>
      <c r="K11" s="52"/>
      <c r="L11" s="52"/>
      <c r="M11" s="52"/>
      <c r="N11" s="52"/>
      <c r="O11" s="47"/>
      <c r="P11" s="47"/>
      <c r="Q11" s="47"/>
      <c r="R11" s="3"/>
    </row>
    <row r="12" spans="1:18">
      <c r="A12" s="3"/>
      <c r="B12" s="47"/>
      <c r="C12" s="133" t="s">
        <v>270</v>
      </c>
      <c r="D12" s="53" t="s">
        <v>200</v>
      </c>
      <c r="E12" s="3"/>
      <c r="F12" s="134" t="s">
        <v>201</v>
      </c>
      <c r="G12" s="3"/>
      <c r="H12" s="161"/>
      <c r="I12" s="389" t="str">
        <f ca="1">IF(AND(ISNUMBER(D13),H12=""),"● ", "")</f>
        <v/>
      </c>
      <c r="J12" s="3"/>
      <c r="K12" s="3"/>
      <c r="L12" s="3"/>
      <c r="M12" s="3"/>
      <c r="N12" s="52"/>
      <c r="O12" s="3"/>
      <c r="P12" s="3"/>
      <c r="Q12" s="3"/>
      <c r="R12" s="3"/>
    </row>
    <row r="13" spans="1:18">
      <c r="A13" s="3"/>
      <c r="B13" s="390" t="s">
        <v>202</v>
      </c>
      <c r="C13" s="196" t="str">
        <f>IF(Name_form&lt;&gt;"",Name_form,"")</f>
        <v>Product</v>
      </c>
      <c r="D13" s="205" t="str">
        <f ca="1">IF(AND(B3="Active",NOT(ISBLANK(E13)),E13&lt;&gt;"Not available",ISNUMBER(Input!H15)),Input!H15,"")</f>
        <v/>
      </c>
      <c r="E13" s="198" t="str">
        <f>M_Chronic_Form_Study</f>
        <v>Not available</v>
      </c>
      <c r="F13" s="502" t="str">
        <f>IF(AND(E13&lt;&gt;"Not available",NOT(ISBLANK(E13))),"Consider if the chronic formulation study should be used in the risk assessment or used in a weight-of-evidence approach instead. In the former case, formulation C(mix) and TERlt are presented in the table below instead of HI SUM.","")</f>
        <v/>
      </c>
      <c r="G13" s="503"/>
      <c r="H13" s="504"/>
      <c r="I13" s="3"/>
      <c r="J13" s="3"/>
      <c r="K13" s="3"/>
      <c r="L13" s="3"/>
      <c r="M13" s="3"/>
      <c r="N13" s="52"/>
      <c r="O13" s="3"/>
      <c r="P13" s="3"/>
      <c r="Q13" s="3"/>
      <c r="R13" s="3"/>
    </row>
    <row r="14" spans="1:18">
      <c r="A14" s="3"/>
      <c r="B14" s="391">
        <v>1</v>
      </c>
      <c r="C14" s="197" t="str">
        <f>IF(Calculations!D12&lt;&gt;"",Calculations!D12,"")</f>
        <v/>
      </c>
      <c r="D14" s="222" t="str" cm="1">
        <f t="array" aca="1" ref="D14" ca="1">IF(AND($B$3="Active", ISNUMBER(INDEX(Active[M_NOAEL], B14))),
                          INDEX(Active[M_NOAEL], B14),"")</f>
        <v/>
      </c>
      <c r="E14" s="3"/>
      <c r="F14" s="505"/>
      <c r="G14" s="506"/>
      <c r="H14" s="507"/>
      <c r="I14" s="3"/>
      <c r="J14" s="3"/>
      <c r="K14" s="3"/>
      <c r="L14" s="3"/>
      <c r="M14" s="3"/>
      <c r="N14" s="52"/>
      <c r="O14" s="3"/>
      <c r="P14" s="3"/>
      <c r="Q14" s="3"/>
      <c r="R14" s="3"/>
    </row>
    <row r="15" spans="1:18">
      <c r="A15" s="3"/>
      <c r="B15" s="391">
        <v>2</v>
      </c>
      <c r="C15" s="197" t="str">
        <f>IF(Calculations!D13&lt;&gt;"",Calculations!D13,"")</f>
        <v/>
      </c>
      <c r="D15" s="222" t="str" cm="1">
        <f t="array" aca="1" ref="D15" ca="1">IF(AND($B$3="Active", ISNUMBER(INDEX(Active[M_NOAEL], B15))),
                          INDEX(Active[M_NOAEL], B15),"")</f>
        <v/>
      </c>
      <c r="E15" s="3"/>
      <c r="F15" s="505"/>
      <c r="G15" s="506"/>
      <c r="H15" s="507"/>
      <c r="I15" s="3"/>
      <c r="J15" s="3"/>
      <c r="K15" s="52"/>
      <c r="L15" s="3"/>
      <c r="M15" s="3"/>
      <c r="N15" s="3"/>
      <c r="O15" s="3"/>
      <c r="P15" s="3"/>
      <c r="Q15" s="3"/>
      <c r="R15" s="47"/>
    </row>
    <row r="16" spans="1:18">
      <c r="A16" s="3"/>
      <c r="B16" s="391">
        <v>3</v>
      </c>
      <c r="C16" s="197" t="str">
        <f>IF(Calculations!D14&lt;&gt;"",Calculations!D14,"")</f>
        <v/>
      </c>
      <c r="D16" s="222" t="str" cm="1">
        <f t="array" aca="1" ref="D16" ca="1">IF(AND($B$3="Active", ISNUMBER(INDEX(Active[M_NOAEL], B16))),
                          INDEX(Active[M_NOAEL], B16),"")</f>
        <v/>
      </c>
      <c r="E16" s="3"/>
      <c r="F16" s="505"/>
      <c r="G16" s="506"/>
      <c r="H16" s="507"/>
      <c r="I16" s="3"/>
      <c r="J16" s="3"/>
      <c r="K16" s="3"/>
      <c r="L16" s="3"/>
      <c r="M16" s="3"/>
      <c r="N16" s="52"/>
      <c r="O16" s="3"/>
      <c r="P16" s="3"/>
      <c r="Q16" s="3"/>
      <c r="R16" s="3"/>
    </row>
    <row r="17" spans="1:18">
      <c r="A17" s="3"/>
      <c r="B17" s="391">
        <v>4</v>
      </c>
      <c r="C17" s="197" t="str">
        <f>IF(Calculations!D15&lt;&gt;"",Calculations!D15,"")</f>
        <v/>
      </c>
      <c r="D17" s="222" t="str" cm="1">
        <f t="array" aca="1" ref="D17" ca="1">IF(AND($B$3="Active", ISNUMBER(INDEX(Active[M_NOAEL], B17))),
                          INDEX(Active[M_NOAEL], B17),"")</f>
        <v/>
      </c>
      <c r="E17" s="108"/>
      <c r="F17" s="505"/>
      <c r="G17" s="506"/>
      <c r="H17" s="507"/>
      <c r="I17" s="108"/>
      <c r="J17" s="108"/>
      <c r="K17" s="108"/>
      <c r="L17" s="47"/>
      <c r="M17" s="47"/>
      <c r="N17" s="47"/>
      <c r="O17" s="47"/>
      <c r="P17" s="47"/>
      <c r="Q17" s="47"/>
      <c r="R17" s="3"/>
    </row>
    <row r="18" spans="1:18">
      <c r="A18" s="3"/>
      <c r="B18" s="391">
        <v>5</v>
      </c>
      <c r="C18" s="197"/>
      <c r="D18" s="223" t="str" cm="1">
        <f t="array" aca="1" ref="D18" ca="1">IF(AND($B$3="Active", ISNUMBER(INDEX(Active[M_NOAEL], B18))),
                          INDEX(Active[M_NOAEL], B18),"")</f>
        <v/>
      </c>
      <c r="E18" s="108"/>
      <c r="F18" s="508"/>
      <c r="G18" s="509"/>
      <c r="H18" s="510"/>
      <c r="I18" s="108"/>
      <c r="J18" s="108"/>
      <c r="K18" s="108"/>
      <c r="L18" s="47"/>
      <c r="M18" s="47"/>
      <c r="N18" s="47"/>
      <c r="O18" s="47"/>
      <c r="P18" s="47"/>
      <c r="Q18" s="47"/>
      <c r="R18" s="47"/>
    </row>
    <row r="19" spans="1:18">
      <c r="A19" s="3"/>
      <c r="B19" s="3"/>
      <c r="C19" s="3"/>
      <c r="D19" s="3"/>
      <c r="E19" s="114"/>
      <c r="F19" s="3"/>
      <c r="G19" s="108"/>
      <c r="H19" s="108"/>
      <c r="I19" s="108"/>
      <c r="J19" s="108"/>
      <c r="K19" s="108"/>
      <c r="L19" s="47"/>
      <c r="M19" s="47"/>
      <c r="N19" s="47"/>
      <c r="O19" s="47"/>
      <c r="P19" s="47"/>
      <c r="Q19" s="47"/>
      <c r="R19" s="47"/>
    </row>
    <row r="20" spans="1:18">
      <c r="A20" s="3"/>
      <c r="B20" s="3"/>
      <c r="C20" s="3"/>
      <c r="D20" s="47"/>
      <c r="E20" s="24"/>
      <c r="F20" s="24"/>
      <c r="G20" s="3"/>
      <c r="H20" s="47"/>
      <c r="I20" s="47"/>
      <c r="J20" s="47"/>
      <c r="K20" s="47"/>
      <c r="L20" s="47"/>
      <c r="M20" s="47"/>
      <c r="N20" s="47"/>
      <c r="O20" s="47"/>
      <c r="P20" s="47"/>
      <c r="Q20" s="47"/>
      <c r="R20" s="3"/>
    </row>
    <row r="21" spans="1:18">
      <c r="A21" s="3"/>
      <c r="B21" s="3"/>
      <c r="C21" s="24"/>
      <c r="D21" s="47"/>
      <c r="E21" s="47"/>
      <c r="F21" s="47"/>
      <c r="G21" s="47"/>
      <c r="H21" s="47"/>
      <c r="I21" s="47"/>
      <c r="J21" s="47"/>
      <c r="K21" s="47"/>
      <c r="L21" s="47"/>
      <c r="M21" s="47"/>
      <c r="N21" s="47"/>
      <c r="O21" s="70"/>
      <c r="P21" s="47"/>
      <c r="Q21" s="47"/>
      <c r="R21" s="3"/>
    </row>
    <row r="22" spans="1:18">
      <c r="A22" s="3"/>
      <c r="B22" s="47"/>
      <c r="C22" s="3"/>
      <c r="D22" s="47"/>
      <c r="E22" s="47"/>
      <c r="F22" s="47"/>
      <c r="G22" s="47"/>
      <c r="H22" s="47"/>
      <c r="I22" s="47"/>
      <c r="J22" s="47"/>
      <c r="K22" s="47"/>
      <c r="L22" s="47"/>
      <c r="M22" s="47"/>
      <c r="N22" s="47"/>
      <c r="O22" s="47"/>
      <c r="P22" s="47"/>
      <c r="Q22" s="47"/>
      <c r="R22" s="3"/>
    </row>
    <row r="23" spans="1:18">
      <c r="A23" s="3"/>
      <c r="B23" s="47"/>
      <c r="C23" s="47"/>
      <c r="D23" s="3"/>
      <c r="E23" s="3"/>
      <c r="F23" s="3"/>
      <c r="G23" s="47"/>
      <c r="H23" s="47"/>
      <c r="I23" s="47"/>
      <c r="J23" s="47"/>
      <c r="K23" s="47"/>
      <c r="L23" s="47"/>
      <c r="M23" s="47"/>
      <c r="N23" s="47"/>
      <c r="O23" s="47"/>
      <c r="P23" s="47"/>
      <c r="Q23" s="47"/>
      <c r="R23" s="3"/>
    </row>
    <row r="24" spans="1:18">
      <c r="A24" s="3"/>
      <c r="B24" s="47"/>
      <c r="C24" s="47"/>
      <c r="D24" s="47"/>
      <c r="E24" s="47"/>
      <c r="F24" s="47"/>
      <c r="G24" s="47"/>
      <c r="H24" s="47"/>
      <c r="I24" s="47"/>
      <c r="J24" s="47"/>
      <c r="K24" s="47"/>
      <c r="L24" s="47"/>
      <c r="M24" s="47"/>
      <c r="N24" s="47"/>
      <c r="O24" s="47"/>
      <c r="P24" s="47"/>
      <c r="Q24" s="47"/>
      <c r="R24" s="3"/>
    </row>
    <row r="25" spans="1:18">
      <c r="A25" s="3"/>
      <c r="B25" s="47"/>
      <c r="C25" s="3"/>
      <c r="D25" s="47"/>
      <c r="E25" s="47"/>
      <c r="F25" s="47"/>
      <c r="G25" s="47"/>
      <c r="H25" s="47"/>
      <c r="I25" s="47"/>
      <c r="J25" s="47"/>
      <c r="K25" s="47"/>
      <c r="L25" s="47"/>
      <c r="M25" s="47"/>
      <c r="N25" s="47"/>
      <c r="O25" s="47"/>
      <c r="P25" s="47"/>
      <c r="Q25" s="47"/>
      <c r="R25" s="3"/>
    </row>
    <row r="26" spans="1:18">
      <c r="A26" s="3"/>
      <c r="B26" s="47"/>
      <c r="C26" s="47"/>
      <c r="D26" s="47"/>
      <c r="E26" s="47"/>
      <c r="F26" s="47"/>
      <c r="G26" s="47"/>
      <c r="H26" s="47"/>
      <c r="I26" s="47"/>
      <c r="J26" s="47"/>
      <c r="K26" s="47"/>
      <c r="L26" s="47"/>
      <c r="M26" s="47"/>
      <c r="N26" s="47"/>
      <c r="O26" s="47"/>
      <c r="P26" s="47"/>
      <c r="Q26" s="47"/>
      <c r="R26" s="3"/>
    </row>
    <row r="27" spans="1:18">
      <c r="A27" s="3"/>
      <c r="B27" s="47"/>
      <c r="C27" s="47"/>
      <c r="D27" s="47"/>
      <c r="E27" s="47"/>
      <c r="F27" s="47"/>
      <c r="G27" s="47"/>
      <c r="H27" s="47"/>
      <c r="I27" s="54"/>
      <c r="J27" s="47"/>
      <c r="K27" s="47"/>
      <c r="L27" s="47"/>
      <c r="M27" s="47"/>
      <c r="N27" s="47"/>
      <c r="O27" s="47"/>
      <c r="P27" s="47"/>
      <c r="Q27" s="47"/>
      <c r="R27" s="47"/>
    </row>
    <row r="28" spans="1:18">
      <c r="A28" s="3"/>
      <c r="B28" s="47"/>
      <c r="C28" s="3"/>
      <c r="D28" s="3"/>
      <c r="E28" s="3"/>
      <c r="F28" s="3"/>
      <c r="G28" s="3"/>
      <c r="H28" s="3"/>
      <c r="I28" s="54"/>
      <c r="J28" s="3"/>
      <c r="K28" s="47"/>
      <c r="L28" s="3"/>
      <c r="M28" s="47"/>
      <c r="N28" s="3"/>
      <c r="O28" s="47"/>
      <c r="P28" s="3"/>
      <c r="Q28" s="47"/>
      <c r="R28" s="47"/>
    </row>
    <row r="29" spans="1:18">
      <c r="A29" s="3"/>
      <c r="B29" s="47"/>
      <c r="C29" s="3"/>
      <c r="D29" s="3"/>
      <c r="E29" s="3"/>
      <c r="F29" s="3"/>
      <c r="G29" s="3"/>
      <c r="H29" s="3"/>
      <c r="I29" s="47"/>
      <c r="J29" s="47"/>
      <c r="K29" s="47"/>
      <c r="L29" s="47"/>
      <c r="M29" s="47"/>
      <c r="N29" s="47"/>
      <c r="O29" s="47"/>
      <c r="P29" s="47"/>
      <c r="Q29" s="47"/>
      <c r="R29" s="47"/>
    </row>
    <row r="30" spans="1:18">
      <c r="A30" s="4"/>
      <c r="B30" s="25"/>
      <c r="C30" s="4"/>
      <c r="D30" s="4"/>
      <c r="E30" s="4"/>
      <c r="F30" s="4"/>
      <c r="G30" s="483" t="str">
        <f>Name_form</f>
        <v>Product</v>
      </c>
      <c r="H30" s="484"/>
      <c r="I30" s="473" t="str">
        <f ca="1">IF(B3&lt;&gt;"Passive",INDEX(Active[Name],1),"")</f>
        <v/>
      </c>
      <c r="J30" s="473"/>
      <c r="K30" s="473" t="str">
        <f>IF(D3&lt;&gt;"Passive",INDEX(Active[Name],2),"")</f>
        <v/>
      </c>
      <c r="L30" s="473"/>
      <c r="M30" s="473" t="str">
        <f>IF(F3&lt;&gt;"Passive",INDEX(Active[Name],3),"")</f>
        <v/>
      </c>
      <c r="N30" s="473"/>
      <c r="O30" s="474" t="str">
        <f>IF(H3&lt;&gt;"Passive",INDEX(Active[Name],4),"")</f>
        <v/>
      </c>
      <c r="P30" s="474"/>
      <c r="Q30" s="474" t="str">
        <f>IF(J3&lt;&gt;"Passive",INDEX(Active[Name],5),"")</f>
        <v/>
      </c>
      <c r="R30" s="474"/>
    </row>
    <row r="31" spans="1:18" ht="25.5">
      <c r="A31" s="55"/>
      <c r="B31" s="101" t="s">
        <v>203</v>
      </c>
      <c r="C31" s="99" t="s">
        <v>91</v>
      </c>
      <c r="D31" s="98" t="s">
        <v>92</v>
      </c>
      <c r="E31" s="98" t="s">
        <v>93</v>
      </c>
      <c r="F31" s="100" t="s">
        <v>204</v>
      </c>
      <c r="G31" s="199" t="s">
        <v>205</v>
      </c>
      <c r="H31" s="200" t="str">
        <f>IF(M_ChronicScheme = "C(mix)", "TERlt", "HIsum")</f>
        <v>HIsum</v>
      </c>
      <c r="I31" s="201" t="s">
        <v>206</v>
      </c>
      <c r="J31" s="201" t="s">
        <v>207</v>
      </c>
      <c r="K31" s="201" t="s">
        <v>208</v>
      </c>
      <c r="L31" s="201" t="s">
        <v>207</v>
      </c>
      <c r="M31" s="201" t="s">
        <v>208</v>
      </c>
      <c r="N31" s="201" t="s">
        <v>207</v>
      </c>
      <c r="O31" s="201" t="s">
        <v>208</v>
      </c>
      <c r="P31" s="201" t="s">
        <v>207</v>
      </c>
      <c r="Q31" s="201" t="s">
        <v>208</v>
      </c>
      <c r="R31" s="201" t="s">
        <v>207</v>
      </c>
    </row>
    <row r="32" spans="1:18">
      <c r="A32" s="56"/>
      <c r="B32" s="314" t="str">
        <f t="shared" ref="B32:B95" ca="1" si="0">IF(AND($B$3="Active",ISNUMBER(I32)),"Input provided","No input")</f>
        <v>No input</v>
      </c>
      <c r="C32" s="72" t="s">
        <v>99</v>
      </c>
      <c r="D32" s="73" t="s">
        <v>100</v>
      </c>
      <c r="E32" s="73" t="s">
        <v>271</v>
      </c>
      <c r="F32" s="113">
        <v>5.7</v>
      </c>
      <c r="G32" s="203" t="str">
        <f ca="1">IF(AND(Mammal_Chronic[[#This Row],[Relevance]]="Input provided", Count&gt;=1),
       IF(M_ChronicScheme="C(mix)",
                 HLOOKUP(Mammal_Chronic[[#This Row],[Crop]], Input_Scenario,10,FALSE)*Mammal_Chronic[[#This Row],[SVm]]*HLOOKUP(Mammal_Chronic[[#This Row],[Crop]],Input_Scenario,8,FALSE),""),"")</f>
        <v/>
      </c>
      <c r="H32" s="368" t="str">
        <f>IF(Count&gt;=1,
       IF(AND(M_ChronicScheme ="C(mix)", ISNUMBER(G32)), M_NOAEL_form/G32,
       IF(AND(M_ChronicScheme = "HIsum", Count &gt; 1),
            IF(ISNUMBER(J32), IF(ISNUMBER(J32), 5/J32, 0) + IF(ISNUMBER(L32), 5/L32, 0) + IF(ISNUMBER(N32), 5/N32, 0) + IF(ISNUMBER(P32), 5/P32, 0) + IF(ISNUMBER(R32), 5/R32, 0),""), "")),"")</f>
        <v/>
      </c>
      <c r="I32" s="369" t="str">
        <f>IFERROR(IF(Active1=TRUE,HLOOKUP(Mammal_Chronic[[#This Row],[Crop]],Input_Scenario,11,FALSE)*HLOOKUP(Mammal_Chronic[[#This Row],[Crop]],Input_Scenario,8,FALSE)*Mammal_Chronic[[#This Row],[SVm]],""),"")</f>
        <v/>
      </c>
      <c r="J32" s="370" t="str">
        <f ca="1">IF($B$3&lt;&gt;"Passive",IFERROR(IF(ISNUMBER(INDEX(Active[M_NOAEL], 1)),
                          INDEX(Active[M_NOAEL], 1)/I32,""),""),"")</f>
        <v/>
      </c>
      <c r="K32" s="370" t="str">
        <f>IFERROR(IF(Active2=TRUE,HLOOKUP(Mammal_Chronic[[#This Row],[Crop]],Input_Scenario,12,FALSE)*HLOOKUP(Mammal_Chronic[[#This Row],[Crop]],Input_Scenario,8,FALSE)*Mammal_Chronic[[#This Row],[SVm]],""),"")</f>
        <v/>
      </c>
      <c r="L32" s="370" t="str">
        <f ca="1">IF($B$3&lt;&gt;"Passive",IFERROR(IF(ISNUMBER(INDEX(Active[M_NOAEL], 2)),
                          INDEX(Active[M_NOAEL], 2)/K32,""),""),"")</f>
        <v/>
      </c>
      <c r="M32" s="370" t="str">
        <f>IFERROR(IF(Active3=TRUE,HLOOKUP(Mammal_Chronic[[#This Row],[Crop]],Input_Scenario,13,FALSE)*HLOOKUP(Mammal_Chronic[[#This Row],[Crop]],Input_Scenario,8,FALSE)*Mammal_Chronic[[#This Row],[SVm]],""),"")</f>
        <v/>
      </c>
      <c r="N32" s="370" t="str">
        <f ca="1">IF($B$3&lt;&gt;"Passive",IFERROR(IF(ISNUMBER(INDEX(Active[M_NOAEL], 3)),
                          INDEX(Active[M_NOAEL], 3)/M32,""),""),"")</f>
        <v/>
      </c>
      <c r="O32" s="370" t="str">
        <f>IFERROR(IF(Active4=TRUE,HLOOKUP(Mammal_Chronic[[#This Row],[Crop]],Input_Scenario,14,FALSE)*HLOOKUP(Mammal_Chronic[[#This Row],[Crop]],Input_Scenario,8,FALSE)*Mammal_Chronic[[#This Row],[SVm]],""),"")</f>
        <v/>
      </c>
      <c r="P32" s="370" t="str">
        <f ca="1">IF($B$3&lt;&gt;"Passive",IFERROR(IF(ISNUMBER(INDEX(Active[M_NOAEL], 4)),
                          INDEX(Active[M_NOAEL], 4)/O32,""),""),"")</f>
        <v/>
      </c>
      <c r="Q32" s="370" t="str">
        <f>IFERROR(IF(Active5=TRUE,HLOOKUP(Mammal_Chronic[[#This Row],[Crop]],Input_Scenario,15,FALSE)*HLOOKUP(Mammal_Chronic[[#This Row],[Crop]],Input_Scenario,8,FALSE)*Mammal_Chronic[[#This Row],[SVm]],""),"")</f>
        <v/>
      </c>
      <c r="R32" s="370" t="str">
        <f ca="1">IF($B$3&lt;&gt;"Passive",IFERROR(IF(ISNUMBER(INDEX(Active[M_NOAEL], 5)),
                          INDEX(Active[M_NOAEL], 5)/Q32,""),""),"")</f>
        <v/>
      </c>
    </row>
    <row r="33" spans="1:18">
      <c r="A33" s="56"/>
      <c r="B33" s="314" t="str">
        <f t="shared" ca="1" si="0"/>
        <v>No input</v>
      </c>
      <c r="C33" s="72" t="s">
        <v>107</v>
      </c>
      <c r="D33" s="73" t="s">
        <v>240</v>
      </c>
      <c r="E33" s="73" t="s">
        <v>272</v>
      </c>
      <c r="F33" s="113">
        <v>4.2</v>
      </c>
      <c r="G33" s="203" t="str">
        <f ca="1">IF(AND(Mammal_Chronic[[#This Row],[Relevance]]="Input provided", Count&gt;=1),
       IF(M_ChronicScheme="C(mix)",
                 HLOOKUP(Mammal_Chronic[[#This Row],[Crop]], Input_Scenario,10,FALSE)*Mammal_Chronic[[#This Row],[SVm]]*HLOOKUP(Mammal_Chronic[[#This Row],[Crop]],Input_Scenario,8,FALSE),""),"")</f>
        <v/>
      </c>
      <c r="H33" s="368" t="str">
        <f t="shared" ref="H32:H95" si="1">IF(Count&gt;=1,
       IF(AND(M_ChronicScheme ="C(mix)", ISNUMBER(G33)), 5/(M_NOAEL_form/G33),
       IF(AND(M_ChronicScheme = "HIsum", Count &gt; 1),
            IF(ISNUMBER(J33), IF(ISNUMBER(J33), 5/J33, 0) + IF(ISNUMBER(L33), 5/L33, 0) + IF(ISNUMBER(N33), 5/N33, 0) + IF(ISNUMBER(P33), 5/P33, 0) + IF(ISNUMBER(R33), 5/R33, 0),""), "")),"")</f>
        <v/>
      </c>
      <c r="I33" s="370" t="str">
        <f>IFERROR(IF(Active1=TRUE,HLOOKUP(Mammal_Chronic[[#This Row],[Crop]],Input_Scenario,11,FALSE)*HLOOKUP(Mammal_Chronic[[#This Row],[Crop]],Input_Scenario,8,FALSE)*Mammal_Chronic[[#This Row],[SVm]],""),"")</f>
        <v/>
      </c>
      <c r="J33" s="370" t="str">
        <f t="shared" ref="J33:J96" ca="1" si="2">IF($B$3&lt;&gt;"Passive",IFERROR(IF(ISNUMBER($D$14),$D$14/I33,""),""),"")</f>
        <v/>
      </c>
      <c r="K33" s="370" t="str">
        <f>IFERROR(IF(Active2=TRUE,HLOOKUP(Mammal_Chronic[[#This Row],[Crop]],Input_Scenario,12,FALSE)*HLOOKUP(Mammal_Chronic[[#This Row],[Crop]],Input_Scenario,8,FALSE)*Mammal_Chronic[[#This Row],[SVm]],""),"")</f>
        <v/>
      </c>
      <c r="L33" s="370" t="str">
        <f ca="1">IF($B$3&lt;&gt;"Passive",IFERROR(IF(ISNUMBER(INDEX(Active[M_NOAEL], 2)),
                          INDEX(Active[M_NOAEL], 2)/K33,""),""),"")</f>
        <v/>
      </c>
      <c r="M33" s="370" t="str">
        <f>IFERROR(IF(Active3=TRUE,HLOOKUP(Mammal_Chronic[[#This Row],[Crop]],Input_Scenario,13,FALSE)*HLOOKUP(Mammal_Chronic[[#This Row],[Crop]],Input_Scenario,8,FALSE)*Mammal_Chronic[[#This Row],[SVm]],""),"")</f>
        <v/>
      </c>
      <c r="N33" s="370" t="str">
        <f ca="1">IF($B$3&lt;&gt;"Passive",IFERROR(IF(ISNUMBER(INDEX(Active[M_NOAEL], 3)),
                          INDEX(Active[M_NOAEL], 3)/M33,""),""),"")</f>
        <v/>
      </c>
      <c r="O33" s="370" t="str">
        <f>IFERROR(IF(Active4=TRUE,HLOOKUP(Mammal_Chronic[[#This Row],[Crop]],Input_Scenario,14,FALSE)*HLOOKUP(Mammal_Chronic[[#This Row],[Crop]],Input_Scenario,8,FALSE)*Mammal_Chronic[[#This Row],[SVm]],""),"")</f>
        <v/>
      </c>
      <c r="P33" s="370" t="str">
        <f ca="1">IF($B$3&lt;&gt;"Passive",IFERROR(IF(ISNUMBER(INDEX(Active[M_NOAEL], 4)),
                          INDEX(Active[M_NOAEL], 4)/O33,""),""),"")</f>
        <v/>
      </c>
      <c r="Q33" s="370" t="str">
        <f>IFERROR(IF(Active5=TRUE,HLOOKUP(Mammal_Chronic[[#This Row],[Crop]],Input_Scenario,15,FALSE)*HLOOKUP(Mammal_Chronic[[#This Row],[Crop]],Input_Scenario,8,FALSE)*Mammal_Chronic[[#This Row],[SVm]],""),"")</f>
        <v/>
      </c>
      <c r="R33" s="370" t="str">
        <f ca="1">IF($B$3&lt;&gt;"Passive",IFERROR(IF(ISNUMBER(INDEX(Active[M_NOAEL], 5)),
                          INDEX(Active[M_NOAEL], 5)/Q33,""),""),"")</f>
        <v/>
      </c>
    </row>
    <row r="34" spans="1:18">
      <c r="A34" s="56"/>
      <c r="B34" s="314" t="str">
        <f t="shared" ca="1" si="0"/>
        <v>No input</v>
      </c>
      <c r="C34" s="72" t="s">
        <v>107</v>
      </c>
      <c r="D34" s="73" t="s">
        <v>110</v>
      </c>
      <c r="E34" s="73" t="s">
        <v>271</v>
      </c>
      <c r="F34" s="113">
        <v>7.8</v>
      </c>
      <c r="G34" s="203" t="str">
        <f ca="1">IF(AND(Mammal_Chronic[[#This Row],[Relevance]]="Input provided", Count&gt;=1),
       IF(M_ChronicScheme="C(mix)",
                 HLOOKUP(Mammal_Chronic[[#This Row],[Crop]], Input_Scenario,10,FALSE)*Mammal_Chronic[[#This Row],[SVm]]*HLOOKUP(Mammal_Chronic[[#This Row],[Crop]],Input_Scenario,8,FALSE),""),"")</f>
        <v/>
      </c>
      <c r="H34" s="368" t="str">
        <f t="shared" si="1"/>
        <v/>
      </c>
      <c r="I34" s="370" t="str">
        <f>IFERROR(IF(Active1=TRUE,HLOOKUP(Mammal_Chronic[[#This Row],[Crop]],Input_Scenario,11,FALSE)*HLOOKUP(Mammal_Chronic[[#This Row],[Crop]],Input_Scenario,8,FALSE)*Mammal_Chronic[[#This Row],[SVm]],""),"")</f>
        <v/>
      </c>
      <c r="J34" s="370" t="str">
        <f t="shared" ca="1" si="2"/>
        <v/>
      </c>
      <c r="K34" s="370" t="str">
        <f>IFERROR(IF(Active2=TRUE,HLOOKUP(Mammal_Chronic[[#This Row],[Crop]],Input_Scenario,12,FALSE)*HLOOKUP(Mammal_Chronic[[#This Row],[Crop]],Input_Scenario,8,FALSE)*Mammal_Chronic[[#This Row],[SVm]],""),"")</f>
        <v/>
      </c>
      <c r="L34" s="370" t="str">
        <f ca="1">IF($B$3&lt;&gt;"Passive",IFERROR(IF(ISNUMBER(INDEX(Active[M_NOAEL], 2)),
                          INDEX(Active[M_NOAEL], 2)/K34,""),""),"")</f>
        <v/>
      </c>
      <c r="M34" s="370" t="str">
        <f>IFERROR(IF(Active3=TRUE,HLOOKUP(Mammal_Chronic[[#This Row],[Crop]],Input_Scenario,13,FALSE)*HLOOKUP(Mammal_Chronic[[#This Row],[Crop]],Input_Scenario,8,FALSE)*Mammal_Chronic[[#This Row],[SVm]],""),"")</f>
        <v/>
      </c>
      <c r="N34" s="370" t="str">
        <f ca="1">IF($B$3&lt;&gt;"Passive",IFERROR(IF(ISNUMBER(INDEX(Active[M_NOAEL], 3)),
                          INDEX(Active[M_NOAEL], 3)/M34,""),""),"")</f>
        <v/>
      </c>
      <c r="O34" s="370" t="str">
        <f>IFERROR(IF(Active4=TRUE,HLOOKUP(Mammal_Chronic[[#This Row],[Crop]],Input_Scenario,14,FALSE)*HLOOKUP(Mammal_Chronic[[#This Row],[Crop]],Input_Scenario,8,FALSE)*Mammal_Chronic[[#This Row],[SVm]],""),"")</f>
        <v/>
      </c>
      <c r="P34" s="370" t="str">
        <f ca="1">IF($B$3&lt;&gt;"Passive",IFERROR(IF(ISNUMBER(INDEX(Active[M_NOAEL], 4)),
                          INDEX(Active[M_NOAEL], 4)/O34,""),""),"")</f>
        <v/>
      </c>
      <c r="Q34" s="370" t="str">
        <f>IFERROR(IF(Active5=TRUE,HLOOKUP(Mammal_Chronic[[#This Row],[Crop]],Input_Scenario,15,FALSE)*HLOOKUP(Mammal_Chronic[[#This Row],[Crop]],Input_Scenario,8,FALSE)*Mammal_Chronic[[#This Row],[SVm]],""),"")</f>
        <v/>
      </c>
      <c r="R34" s="370" t="str">
        <f ca="1">IF($B$3&lt;&gt;"Passive",IFERROR(IF(ISNUMBER(INDEX(Active[M_NOAEL], 5)),
                          INDEX(Active[M_NOAEL], 5)/Q34,""),""),"")</f>
        <v/>
      </c>
    </row>
    <row r="35" spans="1:18">
      <c r="A35" s="56"/>
      <c r="B35" s="314" t="str">
        <f t="shared" ca="1" si="0"/>
        <v>No input</v>
      </c>
      <c r="C35" s="72" t="s">
        <v>107</v>
      </c>
      <c r="D35" s="73" t="s">
        <v>111</v>
      </c>
      <c r="E35" s="73" t="s">
        <v>272</v>
      </c>
      <c r="F35" s="113">
        <v>1.9</v>
      </c>
      <c r="G35" s="203" t="str">
        <f ca="1">IF(AND(Mammal_Chronic[[#This Row],[Relevance]]="Input provided", Count&gt;=1),
       IF(M_ChronicScheme="C(mix)",
                 HLOOKUP(Mammal_Chronic[[#This Row],[Crop]], Input_Scenario,10,FALSE)*Mammal_Chronic[[#This Row],[SVm]]*HLOOKUP(Mammal_Chronic[[#This Row],[Crop]],Input_Scenario,8,FALSE),""),"")</f>
        <v/>
      </c>
      <c r="H35" s="368" t="str">
        <f t="shared" si="1"/>
        <v/>
      </c>
      <c r="I35" s="370" t="str">
        <f>IFERROR(IF(Active1=TRUE,HLOOKUP(Mammal_Chronic[[#This Row],[Crop]],Input_Scenario,11,FALSE)*HLOOKUP(Mammal_Chronic[[#This Row],[Crop]],Input_Scenario,8,FALSE)*Mammal_Chronic[[#This Row],[SVm]],""),"")</f>
        <v/>
      </c>
      <c r="J35" s="370" t="str">
        <f t="shared" ca="1" si="2"/>
        <v/>
      </c>
      <c r="K35" s="370" t="str">
        <f>IFERROR(IF(Active2=TRUE,HLOOKUP(Mammal_Chronic[[#This Row],[Crop]],Input_Scenario,12,FALSE)*HLOOKUP(Mammal_Chronic[[#This Row],[Crop]],Input_Scenario,8,FALSE)*Mammal_Chronic[[#This Row],[SVm]],""),"")</f>
        <v/>
      </c>
      <c r="L35" s="370" t="str">
        <f ca="1">IF($B$3&lt;&gt;"Passive",IFERROR(IF(ISNUMBER(INDEX(Active[M_NOAEL], 2)),
                          INDEX(Active[M_NOAEL], 2)/K35,""),""),"")</f>
        <v/>
      </c>
      <c r="M35" s="370" t="str">
        <f>IFERROR(IF(Active3=TRUE,HLOOKUP(Mammal_Chronic[[#This Row],[Crop]],Input_Scenario,13,FALSE)*HLOOKUP(Mammal_Chronic[[#This Row],[Crop]],Input_Scenario,8,FALSE)*Mammal_Chronic[[#This Row],[SVm]],""),"")</f>
        <v/>
      </c>
      <c r="N35" s="370" t="str">
        <f ca="1">IF($B$3&lt;&gt;"Passive",IFERROR(IF(ISNUMBER(INDEX(Active[M_NOAEL], 3)),
                          INDEX(Active[M_NOAEL], 3)/M35,""),""),"")</f>
        <v/>
      </c>
      <c r="O35" s="370" t="str">
        <f>IFERROR(IF(Active4=TRUE,HLOOKUP(Mammal_Chronic[[#This Row],[Crop]],Input_Scenario,14,FALSE)*HLOOKUP(Mammal_Chronic[[#This Row],[Crop]],Input_Scenario,8,FALSE)*Mammal_Chronic[[#This Row],[SVm]],""),"")</f>
        <v/>
      </c>
      <c r="P35" s="370" t="str">
        <f ca="1">IF($B$3&lt;&gt;"Passive",IFERROR(IF(ISNUMBER(INDEX(Active[M_NOAEL], 4)),
                          INDEX(Active[M_NOAEL], 4)/O35,""),""),"")</f>
        <v/>
      </c>
      <c r="Q35" s="370" t="str">
        <f>IFERROR(IF(Active5=TRUE,HLOOKUP(Mammal_Chronic[[#This Row],[Crop]],Input_Scenario,15,FALSE)*HLOOKUP(Mammal_Chronic[[#This Row],[Crop]],Input_Scenario,8,FALSE)*Mammal_Chronic[[#This Row],[SVm]],""),"")</f>
        <v/>
      </c>
      <c r="R35" s="370" t="str">
        <f ca="1">IF($B$3&lt;&gt;"Passive",IFERROR(IF(ISNUMBER(INDEX(Active[M_NOAEL], 5)),
                          INDEX(Active[M_NOAEL], 5)/Q35,""),""),"")</f>
        <v/>
      </c>
    </row>
    <row r="36" spans="1:18">
      <c r="A36" s="56"/>
      <c r="B36" s="314" t="str">
        <f t="shared" ca="1" si="0"/>
        <v>No input</v>
      </c>
      <c r="C36" s="72" t="s">
        <v>107</v>
      </c>
      <c r="D36" s="73" t="s">
        <v>109</v>
      </c>
      <c r="E36" s="73" t="s">
        <v>273</v>
      </c>
      <c r="F36" s="113">
        <v>43.4</v>
      </c>
      <c r="G36" s="203" t="str">
        <f ca="1">IF(AND(Mammal_Chronic[[#This Row],[Relevance]]="Input provided", Count&gt;=1),
       IF(M_ChronicScheme="C(mix)",
                 HLOOKUP(Mammal_Chronic[[#This Row],[Crop]], Input_Scenario,10,FALSE)*Mammal_Chronic[[#This Row],[SVm]]*HLOOKUP(Mammal_Chronic[[#This Row],[Crop]],Input_Scenario,8,FALSE),""),"")</f>
        <v/>
      </c>
      <c r="H36" s="368" t="str">
        <f t="shared" si="1"/>
        <v/>
      </c>
      <c r="I36" s="370" t="str">
        <f>IFERROR(IF(Active1=TRUE,HLOOKUP(Mammal_Chronic[[#This Row],[Crop]],Input_Scenario,11,FALSE)*HLOOKUP(Mammal_Chronic[[#This Row],[Crop]],Input_Scenario,8,FALSE)*Mammal_Chronic[[#This Row],[SVm]],""),"")</f>
        <v/>
      </c>
      <c r="J36" s="370" t="str">
        <f t="shared" ca="1" si="2"/>
        <v/>
      </c>
      <c r="K36" s="370" t="str">
        <f>IFERROR(IF(Active2=TRUE,HLOOKUP(Mammal_Chronic[[#This Row],[Crop]],Input_Scenario,12,FALSE)*HLOOKUP(Mammal_Chronic[[#This Row],[Crop]],Input_Scenario,8,FALSE)*Mammal_Chronic[[#This Row],[SVm]],""),"")</f>
        <v/>
      </c>
      <c r="L36" s="370" t="str">
        <f ca="1">IF($B$3&lt;&gt;"Passive",IFERROR(IF(ISNUMBER(INDEX(Active[M_NOAEL], 2)),
                          INDEX(Active[M_NOAEL], 2)/K36,""),""),"")</f>
        <v/>
      </c>
      <c r="M36" s="370" t="str">
        <f>IFERROR(IF(Active3=TRUE,HLOOKUP(Mammal_Chronic[[#This Row],[Crop]],Input_Scenario,13,FALSE)*HLOOKUP(Mammal_Chronic[[#This Row],[Crop]],Input_Scenario,8,FALSE)*Mammal_Chronic[[#This Row],[SVm]],""),"")</f>
        <v/>
      </c>
      <c r="N36" s="370" t="str">
        <f ca="1">IF($B$3&lt;&gt;"Passive",IFERROR(IF(ISNUMBER(INDEX(Active[M_NOAEL], 3)),
                          INDEX(Active[M_NOAEL], 3)/M36,""),""),"")</f>
        <v/>
      </c>
      <c r="O36" s="370" t="str">
        <f>IFERROR(IF(Active4=TRUE,HLOOKUP(Mammal_Chronic[[#This Row],[Crop]],Input_Scenario,14,FALSE)*HLOOKUP(Mammal_Chronic[[#This Row],[Crop]],Input_Scenario,8,FALSE)*Mammal_Chronic[[#This Row],[SVm]],""),"")</f>
        <v/>
      </c>
      <c r="P36" s="370" t="str">
        <f ca="1">IF($B$3&lt;&gt;"Passive",IFERROR(IF(ISNUMBER(INDEX(Active[M_NOAEL], 4)),
                          INDEX(Active[M_NOAEL], 4)/O36,""),""),"")</f>
        <v/>
      </c>
      <c r="Q36" s="370" t="str">
        <f>IFERROR(IF(Active5=TRUE,HLOOKUP(Mammal_Chronic[[#This Row],[Crop]],Input_Scenario,15,FALSE)*HLOOKUP(Mammal_Chronic[[#This Row],[Crop]],Input_Scenario,8,FALSE)*Mammal_Chronic[[#This Row],[SVm]],""),"")</f>
        <v/>
      </c>
      <c r="R36" s="370" t="str">
        <f ca="1">IF($B$3&lt;&gt;"Passive",IFERROR(IF(ISNUMBER(INDEX(Active[M_NOAEL], 5)),
                          INDEX(Active[M_NOAEL], 5)/Q36,""),""),"")</f>
        <v/>
      </c>
    </row>
    <row r="37" spans="1:18">
      <c r="A37" s="56"/>
      <c r="B37" s="314" t="str">
        <f t="shared" ca="1" si="0"/>
        <v>No input</v>
      </c>
      <c r="C37" s="72" t="s">
        <v>107</v>
      </c>
      <c r="D37" s="73" t="s">
        <v>109</v>
      </c>
      <c r="E37" s="73" t="s">
        <v>271</v>
      </c>
      <c r="F37" s="113">
        <v>4.7</v>
      </c>
      <c r="G37" s="203" t="str">
        <f ca="1">IF(AND(Mammal_Chronic[[#This Row],[Relevance]]="Input provided", Count&gt;=1),
       IF(M_ChronicScheme="C(mix)",
                 HLOOKUP(Mammal_Chronic[[#This Row],[Crop]], Input_Scenario,10,FALSE)*Mammal_Chronic[[#This Row],[SVm]]*HLOOKUP(Mammal_Chronic[[#This Row],[Crop]],Input_Scenario,8,FALSE),""),"")</f>
        <v/>
      </c>
      <c r="H37" s="368" t="str">
        <f t="shared" si="1"/>
        <v/>
      </c>
      <c r="I37" s="370" t="str">
        <f>IFERROR(IF(Active1=TRUE,HLOOKUP(Mammal_Chronic[[#This Row],[Crop]],Input_Scenario,11,FALSE)*HLOOKUP(Mammal_Chronic[[#This Row],[Crop]],Input_Scenario,8,FALSE)*Mammal_Chronic[[#This Row],[SVm]],""),"")</f>
        <v/>
      </c>
      <c r="J37" s="370" t="str">
        <f t="shared" ca="1" si="2"/>
        <v/>
      </c>
      <c r="K37" s="370" t="str">
        <f>IFERROR(IF(Active2=TRUE,HLOOKUP(Mammal_Chronic[[#This Row],[Crop]],Input_Scenario,12,FALSE)*HLOOKUP(Mammal_Chronic[[#This Row],[Crop]],Input_Scenario,8,FALSE)*Mammal_Chronic[[#This Row],[SVm]],""),"")</f>
        <v/>
      </c>
      <c r="L37" s="370" t="str">
        <f ca="1">IF($B$3&lt;&gt;"Passive",IFERROR(IF(ISNUMBER(INDEX(Active[M_NOAEL], 2)),
                          INDEX(Active[M_NOAEL], 2)/K37,""),""),"")</f>
        <v/>
      </c>
      <c r="M37" s="370" t="str">
        <f>IFERROR(IF(Active3=TRUE,HLOOKUP(Mammal_Chronic[[#This Row],[Crop]],Input_Scenario,13,FALSE)*HLOOKUP(Mammal_Chronic[[#This Row],[Crop]],Input_Scenario,8,FALSE)*Mammal_Chronic[[#This Row],[SVm]],""),"")</f>
        <v/>
      </c>
      <c r="N37" s="370" t="str">
        <f ca="1">IF($B$3&lt;&gt;"Passive",IFERROR(IF(ISNUMBER(INDEX(Active[M_NOAEL], 3)),
                          INDEX(Active[M_NOAEL], 3)/M37,""),""),"")</f>
        <v/>
      </c>
      <c r="O37" s="370" t="str">
        <f>IFERROR(IF(Active4=TRUE,HLOOKUP(Mammal_Chronic[[#This Row],[Crop]],Input_Scenario,14,FALSE)*HLOOKUP(Mammal_Chronic[[#This Row],[Crop]],Input_Scenario,8,FALSE)*Mammal_Chronic[[#This Row],[SVm]],""),"")</f>
        <v/>
      </c>
      <c r="P37" s="370" t="str">
        <f ca="1">IF($B$3&lt;&gt;"Passive",IFERROR(IF(ISNUMBER(INDEX(Active[M_NOAEL], 4)),
                          INDEX(Active[M_NOAEL], 4)/O37,""),""),"")</f>
        <v/>
      </c>
      <c r="Q37" s="370" t="str">
        <f>IFERROR(IF(Active5=TRUE,HLOOKUP(Mammal_Chronic[[#This Row],[Crop]],Input_Scenario,15,FALSE)*HLOOKUP(Mammal_Chronic[[#This Row],[Crop]],Input_Scenario,8,FALSE)*Mammal_Chronic[[#This Row],[SVm]],""),"")</f>
        <v/>
      </c>
      <c r="R37" s="370" t="str">
        <f ca="1">IF($B$3&lt;&gt;"Passive",IFERROR(IF(ISNUMBER(INDEX(Active[M_NOAEL], 5)),
                          INDEX(Active[M_NOAEL], 5)/Q37,""),""),"")</f>
        <v/>
      </c>
    </row>
    <row r="38" spans="1:18">
      <c r="A38" s="56"/>
      <c r="B38" s="314" t="str">
        <f t="shared" ca="1" si="0"/>
        <v>No input</v>
      </c>
      <c r="C38" s="72" t="s">
        <v>112</v>
      </c>
      <c r="D38" s="73" t="s">
        <v>108</v>
      </c>
      <c r="E38" s="73" t="s">
        <v>272</v>
      </c>
      <c r="F38" s="113">
        <v>4.2</v>
      </c>
      <c r="G38" s="203" t="str">
        <f ca="1">IF(AND(Mammal_Chronic[[#This Row],[Relevance]]="Input provided", Count&gt;=1),
       IF(M_ChronicScheme="C(mix)",
                 HLOOKUP(Mammal_Chronic[[#This Row],[Crop]], Input_Scenario,10,FALSE)*Mammal_Chronic[[#This Row],[SVm]]*HLOOKUP(Mammal_Chronic[[#This Row],[Crop]],Input_Scenario,8,FALSE),""),"")</f>
        <v/>
      </c>
      <c r="H38" s="368" t="str">
        <f t="shared" si="1"/>
        <v/>
      </c>
      <c r="I38" s="370" t="str">
        <f>IFERROR(IF(Active1=TRUE,HLOOKUP(Mammal_Chronic[[#This Row],[Crop]],Input_Scenario,11,FALSE)*HLOOKUP(Mammal_Chronic[[#This Row],[Crop]],Input_Scenario,8,FALSE)*Mammal_Chronic[[#This Row],[SVm]],""),"")</f>
        <v/>
      </c>
      <c r="J38" s="370" t="str">
        <f t="shared" ca="1" si="2"/>
        <v/>
      </c>
      <c r="K38" s="370" t="str">
        <f>IFERROR(IF(Active2=TRUE,HLOOKUP(Mammal_Chronic[[#This Row],[Crop]],Input_Scenario,12,FALSE)*HLOOKUP(Mammal_Chronic[[#This Row],[Crop]],Input_Scenario,8,FALSE)*Mammal_Chronic[[#This Row],[SVm]],""),"")</f>
        <v/>
      </c>
      <c r="L38" s="370" t="str">
        <f ca="1">IF($B$3&lt;&gt;"Passive",IFERROR(IF(ISNUMBER(INDEX(Active[M_NOAEL], 2)),
                          INDEX(Active[M_NOAEL], 2)/K38,""),""),"")</f>
        <v/>
      </c>
      <c r="M38" s="370" t="str">
        <f>IFERROR(IF(Active3=TRUE,HLOOKUP(Mammal_Chronic[[#This Row],[Crop]],Input_Scenario,13,FALSE)*HLOOKUP(Mammal_Chronic[[#This Row],[Crop]],Input_Scenario,8,FALSE)*Mammal_Chronic[[#This Row],[SVm]],""),"")</f>
        <v/>
      </c>
      <c r="N38" s="370" t="str">
        <f ca="1">IF($B$3&lt;&gt;"Passive",IFERROR(IF(ISNUMBER(INDEX(Active[M_NOAEL], 3)),
                          INDEX(Active[M_NOAEL], 3)/M38,""),""),"")</f>
        <v/>
      </c>
      <c r="O38" s="370" t="str">
        <f>IFERROR(IF(Active4=TRUE,HLOOKUP(Mammal_Chronic[[#This Row],[Crop]],Input_Scenario,14,FALSE)*HLOOKUP(Mammal_Chronic[[#This Row],[Crop]],Input_Scenario,8,FALSE)*Mammal_Chronic[[#This Row],[SVm]],""),"")</f>
        <v/>
      </c>
      <c r="P38" s="370" t="str">
        <f ca="1">IF($B$3&lt;&gt;"Passive",IFERROR(IF(ISNUMBER(INDEX(Active[M_NOAEL], 4)),
                          INDEX(Active[M_NOAEL], 4)/O38,""),""),"")</f>
        <v/>
      </c>
      <c r="Q38" s="370" t="str">
        <f>IFERROR(IF(Active5=TRUE,HLOOKUP(Mammal_Chronic[[#This Row],[Crop]],Input_Scenario,15,FALSE)*HLOOKUP(Mammal_Chronic[[#This Row],[Crop]],Input_Scenario,8,FALSE)*Mammal_Chronic[[#This Row],[SVm]],""),"")</f>
        <v/>
      </c>
      <c r="R38" s="370" t="str">
        <f ca="1">IF($B$3&lt;&gt;"Passive",IFERROR(IF(ISNUMBER(INDEX(Active[M_NOAEL], 5)),
                          INDEX(Active[M_NOAEL], 5)/Q38,""),""),"")</f>
        <v/>
      </c>
    </row>
    <row r="39" spans="1:18">
      <c r="A39" s="56"/>
      <c r="B39" s="314" t="str">
        <f t="shared" ca="1" si="0"/>
        <v>No input</v>
      </c>
      <c r="C39" s="72" t="s">
        <v>112</v>
      </c>
      <c r="D39" s="73" t="s">
        <v>111</v>
      </c>
      <c r="E39" s="73" t="s">
        <v>272</v>
      </c>
      <c r="F39" s="113">
        <v>1.9</v>
      </c>
      <c r="G39" s="203" t="str">
        <f ca="1">IF(AND(Mammal_Chronic[[#This Row],[Relevance]]="Input provided", Count&gt;=1),
       IF(M_ChronicScheme="C(mix)",
                 HLOOKUP(Mammal_Chronic[[#This Row],[Crop]], Input_Scenario,10,FALSE)*Mammal_Chronic[[#This Row],[SVm]]*HLOOKUP(Mammal_Chronic[[#This Row],[Crop]],Input_Scenario,8,FALSE),""),"")</f>
        <v/>
      </c>
      <c r="H39" s="368" t="str">
        <f t="shared" si="1"/>
        <v/>
      </c>
      <c r="I39" s="370" t="str">
        <f>IFERROR(IF(Active1=TRUE,HLOOKUP(Mammal_Chronic[[#This Row],[Crop]],Input_Scenario,11,FALSE)*HLOOKUP(Mammal_Chronic[[#This Row],[Crop]],Input_Scenario,8,FALSE)*Mammal_Chronic[[#This Row],[SVm]],""),"")</f>
        <v/>
      </c>
      <c r="J39" s="370" t="str">
        <f t="shared" ca="1" si="2"/>
        <v/>
      </c>
      <c r="K39" s="370" t="str">
        <f>IFERROR(IF(Active2=TRUE,HLOOKUP(Mammal_Chronic[[#This Row],[Crop]],Input_Scenario,12,FALSE)*HLOOKUP(Mammal_Chronic[[#This Row],[Crop]],Input_Scenario,8,FALSE)*Mammal_Chronic[[#This Row],[SVm]],""),"")</f>
        <v/>
      </c>
      <c r="L39" s="370" t="str">
        <f ca="1">IF($B$3&lt;&gt;"Passive",IFERROR(IF(ISNUMBER(INDEX(Active[M_NOAEL], 2)),
                          INDEX(Active[M_NOAEL], 2)/K39,""),""),"")</f>
        <v/>
      </c>
      <c r="M39" s="370" t="str">
        <f>IFERROR(IF(Active3=TRUE,HLOOKUP(Mammal_Chronic[[#This Row],[Crop]],Input_Scenario,13,FALSE)*HLOOKUP(Mammal_Chronic[[#This Row],[Crop]],Input_Scenario,8,FALSE)*Mammal_Chronic[[#This Row],[SVm]],""),"")</f>
        <v/>
      </c>
      <c r="N39" s="370" t="str">
        <f ca="1">IF($B$3&lt;&gt;"Passive",IFERROR(IF(ISNUMBER(INDEX(Active[M_NOAEL], 3)),
                          INDEX(Active[M_NOAEL], 3)/M39,""),""),"")</f>
        <v/>
      </c>
      <c r="O39" s="370" t="str">
        <f>IFERROR(IF(Active4=TRUE,HLOOKUP(Mammal_Chronic[[#This Row],[Crop]],Input_Scenario,14,FALSE)*HLOOKUP(Mammal_Chronic[[#This Row],[Crop]],Input_Scenario,8,FALSE)*Mammal_Chronic[[#This Row],[SVm]],""),"")</f>
        <v/>
      </c>
      <c r="P39" s="370" t="str">
        <f ca="1">IF($B$3&lt;&gt;"Passive",IFERROR(IF(ISNUMBER(INDEX(Active[M_NOAEL], 4)),
                          INDEX(Active[M_NOAEL], 4)/O39,""),""),"")</f>
        <v/>
      </c>
      <c r="Q39" s="370" t="str">
        <f>IFERROR(IF(Active5=TRUE,HLOOKUP(Mammal_Chronic[[#This Row],[Crop]],Input_Scenario,15,FALSE)*HLOOKUP(Mammal_Chronic[[#This Row],[Crop]],Input_Scenario,8,FALSE)*Mammal_Chronic[[#This Row],[SVm]],""),"")</f>
        <v/>
      </c>
      <c r="R39" s="370" t="str">
        <f ca="1">IF($B$3&lt;&gt;"Passive",IFERROR(IF(ISNUMBER(INDEX(Active[M_NOAEL], 5)),
                          INDEX(Active[M_NOAEL], 5)/Q39,""),""),"")</f>
        <v/>
      </c>
    </row>
    <row r="40" spans="1:18">
      <c r="A40" s="56"/>
      <c r="B40" s="314" t="str">
        <f t="shared" ca="1" si="0"/>
        <v>No input</v>
      </c>
      <c r="C40" s="72" t="s">
        <v>112</v>
      </c>
      <c r="D40" s="73" t="s">
        <v>108</v>
      </c>
      <c r="E40" s="73" t="s">
        <v>273</v>
      </c>
      <c r="F40" s="113">
        <v>43.4</v>
      </c>
      <c r="G40" s="203" t="str">
        <f ca="1">IF(AND(Mammal_Chronic[[#This Row],[Relevance]]="Input provided", Count&gt;=1),
       IF(M_ChronicScheme="C(mix)",
                 HLOOKUP(Mammal_Chronic[[#This Row],[Crop]], Input_Scenario,10,FALSE)*Mammal_Chronic[[#This Row],[SVm]]*HLOOKUP(Mammal_Chronic[[#This Row],[Crop]],Input_Scenario,8,FALSE),""),"")</f>
        <v/>
      </c>
      <c r="H40" s="368" t="str">
        <f t="shared" si="1"/>
        <v/>
      </c>
      <c r="I40" s="370" t="str">
        <f>IFERROR(IF(Active1=TRUE,HLOOKUP(Mammal_Chronic[[#This Row],[Crop]],Input_Scenario,11,FALSE)*HLOOKUP(Mammal_Chronic[[#This Row],[Crop]],Input_Scenario,8,FALSE)*Mammal_Chronic[[#This Row],[SVm]],""),"")</f>
        <v/>
      </c>
      <c r="J40" s="370" t="str">
        <f t="shared" ca="1" si="2"/>
        <v/>
      </c>
      <c r="K40" s="370" t="str">
        <f>IFERROR(IF(Active2=TRUE,HLOOKUP(Mammal_Chronic[[#This Row],[Crop]],Input_Scenario,12,FALSE)*HLOOKUP(Mammal_Chronic[[#This Row],[Crop]],Input_Scenario,8,FALSE)*Mammal_Chronic[[#This Row],[SVm]],""),"")</f>
        <v/>
      </c>
      <c r="L40" s="370" t="str">
        <f ca="1">IF($B$3&lt;&gt;"Passive",IFERROR(IF(ISNUMBER(INDEX(Active[M_NOAEL], 2)),
                          INDEX(Active[M_NOAEL], 2)/K40,""),""),"")</f>
        <v/>
      </c>
      <c r="M40" s="370" t="str">
        <f>IFERROR(IF(Active3=TRUE,HLOOKUP(Mammal_Chronic[[#This Row],[Crop]],Input_Scenario,13,FALSE)*HLOOKUP(Mammal_Chronic[[#This Row],[Crop]],Input_Scenario,8,FALSE)*Mammal_Chronic[[#This Row],[SVm]],""),"")</f>
        <v/>
      </c>
      <c r="N40" s="370" t="str">
        <f ca="1">IF($B$3&lt;&gt;"Passive",IFERROR(IF(ISNUMBER(INDEX(Active[M_NOAEL], 3)),
                          INDEX(Active[M_NOAEL], 3)/M40,""),""),"")</f>
        <v/>
      </c>
      <c r="O40" s="370" t="str">
        <f>IFERROR(IF(Active4=TRUE,HLOOKUP(Mammal_Chronic[[#This Row],[Crop]],Input_Scenario,14,FALSE)*HLOOKUP(Mammal_Chronic[[#This Row],[Crop]],Input_Scenario,8,FALSE)*Mammal_Chronic[[#This Row],[SVm]],""),"")</f>
        <v/>
      </c>
      <c r="P40" s="370" t="str">
        <f ca="1">IF($B$3&lt;&gt;"Passive",IFERROR(IF(ISNUMBER(INDEX(Active[M_NOAEL], 4)),
                          INDEX(Active[M_NOAEL], 4)/O40,""),""),"")</f>
        <v/>
      </c>
      <c r="Q40" s="370" t="str">
        <f>IFERROR(IF(Active5=TRUE,HLOOKUP(Mammal_Chronic[[#This Row],[Crop]],Input_Scenario,15,FALSE)*HLOOKUP(Mammal_Chronic[[#This Row],[Crop]],Input_Scenario,8,FALSE)*Mammal_Chronic[[#This Row],[SVm]],""),"")</f>
        <v/>
      </c>
      <c r="R40" s="370" t="str">
        <f ca="1">IF($B$3&lt;&gt;"Passive",IFERROR(IF(ISNUMBER(INDEX(Active[M_NOAEL], 5)),
                          INDEX(Active[M_NOAEL], 5)/Q40,""),""),"")</f>
        <v/>
      </c>
    </row>
    <row r="41" spans="1:18">
      <c r="A41" s="56"/>
      <c r="B41" s="314" t="str">
        <f t="shared" ca="1" si="0"/>
        <v>No input</v>
      </c>
      <c r="C41" s="72" t="s">
        <v>112</v>
      </c>
      <c r="D41" s="73" t="s">
        <v>146</v>
      </c>
      <c r="E41" s="73" t="s">
        <v>273</v>
      </c>
      <c r="F41" s="113">
        <v>36.1</v>
      </c>
      <c r="G41" s="203" t="str">
        <f ca="1">IF(AND(Mammal_Chronic[[#This Row],[Relevance]]="Input provided", Count&gt;=1),
       IF(M_ChronicScheme="C(mix)",
                 HLOOKUP(Mammal_Chronic[[#This Row],[Crop]], Input_Scenario,10,FALSE)*Mammal_Chronic[[#This Row],[SVm]]*HLOOKUP(Mammal_Chronic[[#This Row],[Crop]],Input_Scenario,8,FALSE),""),"")</f>
        <v/>
      </c>
      <c r="H41" s="368" t="str">
        <f t="shared" si="1"/>
        <v/>
      </c>
      <c r="I41" s="370" t="str">
        <f>IFERROR(IF(Active1=TRUE,HLOOKUP(Mammal_Chronic[[#This Row],[Crop]],Input_Scenario,11,FALSE)*HLOOKUP(Mammal_Chronic[[#This Row],[Crop]],Input_Scenario,8,FALSE)*Mammal_Chronic[[#This Row],[SVm]],""),"")</f>
        <v/>
      </c>
      <c r="J41" s="370" t="str">
        <f t="shared" ca="1" si="2"/>
        <v/>
      </c>
      <c r="K41" s="370" t="str">
        <f>IFERROR(IF(Active2=TRUE,HLOOKUP(Mammal_Chronic[[#This Row],[Crop]],Input_Scenario,12,FALSE)*HLOOKUP(Mammal_Chronic[[#This Row],[Crop]],Input_Scenario,8,FALSE)*Mammal_Chronic[[#This Row],[SVm]],""),"")</f>
        <v/>
      </c>
      <c r="L41" s="370" t="str">
        <f ca="1">IF($B$3&lt;&gt;"Passive",IFERROR(IF(ISNUMBER(INDEX(Active[M_NOAEL], 2)),
                          INDEX(Active[M_NOAEL], 2)/K41,""),""),"")</f>
        <v/>
      </c>
      <c r="M41" s="370" t="str">
        <f>IFERROR(IF(Active3=TRUE,HLOOKUP(Mammal_Chronic[[#This Row],[Crop]],Input_Scenario,13,FALSE)*HLOOKUP(Mammal_Chronic[[#This Row],[Crop]],Input_Scenario,8,FALSE)*Mammal_Chronic[[#This Row],[SVm]],""),"")</f>
        <v/>
      </c>
      <c r="N41" s="370" t="str">
        <f ca="1">IF($B$3&lt;&gt;"Passive",IFERROR(IF(ISNUMBER(INDEX(Active[M_NOAEL], 3)),
                          INDEX(Active[M_NOAEL], 3)/M41,""),""),"")</f>
        <v/>
      </c>
      <c r="O41" s="370" t="str">
        <f>IFERROR(IF(Active4=TRUE,HLOOKUP(Mammal_Chronic[[#This Row],[Crop]],Input_Scenario,14,FALSE)*HLOOKUP(Mammal_Chronic[[#This Row],[Crop]],Input_Scenario,8,FALSE)*Mammal_Chronic[[#This Row],[SVm]],""),"")</f>
        <v/>
      </c>
      <c r="P41" s="370" t="str">
        <f ca="1">IF($B$3&lt;&gt;"Passive",IFERROR(IF(ISNUMBER(INDEX(Active[M_NOAEL], 4)),
                          INDEX(Active[M_NOAEL], 4)/O41,""),""),"")</f>
        <v/>
      </c>
      <c r="Q41" s="370" t="str">
        <f>IFERROR(IF(Active5=TRUE,HLOOKUP(Mammal_Chronic[[#This Row],[Crop]],Input_Scenario,15,FALSE)*HLOOKUP(Mammal_Chronic[[#This Row],[Crop]],Input_Scenario,8,FALSE)*Mammal_Chronic[[#This Row],[SVm]],""),"")</f>
        <v/>
      </c>
      <c r="R41" s="370" t="str">
        <f ca="1">IF($B$3&lt;&gt;"Passive",IFERROR(IF(ISNUMBER(INDEX(Active[M_NOAEL], 5)),
                          INDEX(Active[M_NOAEL], 5)/Q41,""),""),"")</f>
        <v/>
      </c>
    </row>
    <row r="42" spans="1:18">
      <c r="A42" s="56"/>
      <c r="B42" s="314" t="str">
        <f t="shared" ca="1" si="0"/>
        <v>No input</v>
      </c>
      <c r="C42" s="72" t="s">
        <v>112</v>
      </c>
      <c r="D42" s="73" t="s">
        <v>109</v>
      </c>
      <c r="E42" s="73" t="s">
        <v>273</v>
      </c>
      <c r="F42" s="113">
        <v>21.7</v>
      </c>
      <c r="G42" s="203" t="str">
        <f ca="1">IF(AND(Mammal_Chronic[[#This Row],[Relevance]]="Input provided", Count&gt;=1),
       IF(M_ChronicScheme="C(mix)",
                 HLOOKUP(Mammal_Chronic[[#This Row],[Crop]], Input_Scenario,10,FALSE)*Mammal_Chronic[[#This Row],[SVm]]*HLOOKUP(Mammal_Chronic[[#This Row],[Crop]],Input_Scenario,8,FALSE),""),"")</f>
        <v/>
      </c>
      <c r="H42" s="368" t="str">
        <f t="shared" si="1"/>
        <v/>
      </c>
      <c r="I42" s="370" t="str">
        <f>IFERROR(IF(Active1=TRUE,HLOOKUP(Mammal_Chronic[[#This Row],[Crop]],Input_Scenario,11,FALSE)*HLOOKUP(Mammal_Chronic[[#This Row],[Crop]],Input_Scenario,8,FALSE)*Mammal_Chronic[[#This Row],[SVm]],""),"")</f>
        <v/>
      </c>
      <c r="J42" s="370" t="str">
        <f t="shared" ca="1" si="2"/>
        <v/>
      </c>
      <c r="K42" s="370" t="str">
        <f>IFERROR(IF(Active2=TRUE,HLOOKUP(Mammal_Chronic[[#This Row],[Crop]],Input_Scenario,12,FALSE)*HLOOKUP(Mammal_Chronic[[#This Row],[Crop]],Input_Scenario,8,FALSE)*Mammal_Chronic[[#This Row],[SVm]],""),"")</f>
        <v/>
      </c>
      <c r="L42" s="370" t="str">
        <f ca="1">IF($B$3&lt;&gt;"Passive",IFERROR(IF(ISNUMBER(INDEX(Active[M_NOAEL], 2)),
                          INDEX(Active[M_NOAEL], 2)/K42,""),""),"")</f>
        <v/>
      </c>
      <c r="M42" s="370" t="str">
        <f>IFERROR(IF(Active3=TRUE,HLOOKUP(Mammal_Chronic[[#This Row],[Crop]],Input_Scenario,13,FALSE)*HLOOKUP(Mammal_Chronic[[#This Row],[Crop]],Input_Scenario,8,FALSE)*Mammal_Chronic[[#This Row],[SVm]],""),"")</f>
        <v/>
      </c>
      <c r="N42" s="370" t="str">
        <f ca="1">IF($B$3&lt;&gt;"Passive",IFERROR(IF(ISNUMBER(INDEX(Active[M_NOAEL], 3)),
                          INDEX(Active[M_NOAEL], 3)/M42,""),""),"")</f>
        <v/>
      </c>
      <c r="O42" s="370" t="str">
        <f>IFERROR(IF(Active4=TRUE,HLOOKUP(Mammal_Chronic[[#This Row],[Crop]],Input_Scenario,14,FALSE)*HLOOKUP(Mammal_Chronic[[#This Row],[Crop]],Input_Scenario,8,FALSE)*Mammal_Chronic[[#This Row],[SVm]],""),"")</f>
        <v/>
      </c>
      <c r="P42" s="370" t="str">
        <f ca="1">IF($B$3&lt;&gt;"Passive",IFERROR(IF(ISNUMBER(INDEX(Active[M_NOAEL], 4)),
                          INDEX(Active[M_NOAEL], 4)/O42,""),""),"")</f>
        <v/>
      </c>
      <c r="Q42" s="370" t="str">
        <f>IFERROR(IF(Active5=TRUE,HLOOKUP(Mammal_Chronic[[#This Row],[Crop]],Input_Scenario,15,FALSE)*HLOOKUP(Mammal_Chronic[[#This Row],[Crop]],Input_Scenario,8,FALSE)*Mammal_Chronic[[#This Row],[SVm]],""),"")</f>
        <v/>
      </c>
      <c r="R42" s="370" t="str">
        <f ca="1">IF($B$3&lt;&gt;"Passive",IFERROR(IF(ISNUMBER(INDEX(Active[M_NOAEL], 5)),
                          INDEX(Active[M_NOAEL], 5)/Q42,""),""),"")</f>
        <v/>
      </c>
    </row>
    <row r="43" spans="1:18">
      <c r="A43" s="56"/>
      <c r="B43" s="314" t="str">
        <f t="shared" ca="1" si="0"/>
        <v>No input</v>
      </c>
      <c r="C43" s="72" t="s">
        <v>112</v>
      </c>
      <c r="D43" s="73" t="s">
        <v>146</v>
      </c>
      <c r="E43" s="73" t="s">
        <v>271</v>
      </c>
      <c r="F43" s="113">
        <v>3.9</v>
      </c>
      <c r="G43" s="203" t="str">
        <f ca="1">IF(AND(Mammal_Chronic[[#This Row],[Relevance]]="Input provided", Count&gt;=1),
       IF(M_ChronicScheme="C(mix)",
                 HLOOKUP(Mammal_Chronic[[#This Row],[Crop]], Input_Scenario,10,FALSE)*Mammal_Chronic[[#This Row],[SVm]]*HLOOKUP(Mammal_Chronic[[#This Row],[Crop]],Input_Scenario,8,FALSE),""),"")</f>
        <v/>
      </c>
      <c r="H43" s="368" t="str">
        <f t="shared" si="1"/>
        <v/>
      </c>
      <c r="I43" s="370" t="str">
        <f>IFERROR(IF(Active1=TRUE,HLOOKUP(Mammal_Chronic[[#This Row],[Crop]],Input_Scenario,11,FALSE)*HLOOKUP(Mammal_Chronic[[#This Row],[Crop]],Input_Scenario,8,FALSE)*Mammal_Chronic[[#This Row],[SVm]],""),"")</f>
        <v/>
      </c>
      <c r="J43" s="370" t="str">
        <f t="shared" ca="1" si="2"/>
        <v/>
      </c>
      <c r="K43" s="370" t="str">
        <f>IFERROR(IF(Active2=TRUE,HLOOKUP(Mammal_Chronic[[#This Row],[Crop]],Input_Scenario,12,FALSE)*HLOOKUP(Mammal_Chronic[[#This Row],[Crop]],Input_Scenario,8,FALSE)*Mammal_Chronic[[#This Row],[SVm]],""),"")</f>
        <v/>
      </c>
      <c r="L43" s="370" t="str">
        <f ca="1">IF($B$3&lt;&gt;"Passive",IFERROR(IF(ISNUMBER(INDEX(Active[M_NOAEL], 2)),
                          INDEX(Active[M_NOAEL], 2)/K43,""),""),"")</f>
        <v/>
      </c>
      <c r="M43" s="370" t="str">
        <f>IFERROR(IF(Active3=TRUE,HLOOKUP(Mammal_Chronic[[#This Row],[Crop]],Input_Scenario,13,FALSE)*HLOOKUP(Mammal_Chronic[[#This Row],[Crop]],Input_Scenario,8,FALSE)*Mammal_Chronic[[#This Row],[SVm]],""),"")</f>
        <v/>
      </c>
      <c r="N43" s="370" t="str">
        <f ca="1">IF($B$3&lt;&gt;"Passive",IFERROR(IF(ISNUMBER(INDEX(Active[M_NOAEL], 3)),
                          INDEX(Active[M_NOAEL], 3)/M43,""),""),"")</f>
        <v/>
      </c>
      <c r="O43" s="370" t="str">
        <f>IFERROR(IF(Active4=TRUE,HLOOKUP(Mammal_Chronic[[#This Row],[Crop]],Input_Scenario,14,FALSE)*HLOOKUP(Mammal_Chronic[[#This Row],[Crop]],Input_Scenario,8,FALSE)*Mammal_Chronic[[#This Row],[SVm]],""),"")</f>
        <v/>
      </c>
      <c r="P43" s="370" t="str">
        <f ca="1">IF($B$3&lt;&gt;"Passive",IFERROR(IF(ISNUMBER(INDEX(Active[M_NOAEL], 4)),
                          INDEX(Active[M_NOAEL], 4)/O43,""),""),"")</f>
        <v/>
      </c>
      <c r="Q43" s="370" t="str">
        <f>IFERROR(IF(Active5=TRUE,HLOOKUP(Mammal_Chronic[[#This Row],[Crop]],Input_Scenario,15,FALSE)*HLOOKUP(Mammal_Chronic[[#This Row],[Crop]],Input_Scenario,8,FALSE)*Mammal_Chronic[[#This Row],[SVm]],""),"")</f>
        <v/>
      </c>
      <c r="R43" s="370" t="str">
        <f ca="1">IF($B$3&lt;&gt;"Passive",IFERROR(IF(ISNUMBER(INDEX(Active[M_NOAEL], 5)),
                          INDEX(Active[M_NOAEL], 5)/Q43,""),""),"")</f>
        <v/>
      </c>
    </row>
    <row r="44" spans="1:18">
      <c r="A44" s="56"/>
      <c r="B44" s="314" t="str">
        <f t="shared" ca="1" si="0"/>
        <v>No input</v>
      </c>
      <c r="C44" s="72" t="s">
        <v>112</v>
      </c>
      <c r="D44" s="73" t="s">
        <v>108</v>
      </c>
      <c r="E44" s="73" t="s">
        <v>271</v>
      </c>
      <c r="F44" s="113">
        <v>4.7</v>
      </c>
      <c r="G44" s="203" t="str">
        <f ca="1">IF(AND(Mammal_Chronic[[#This Row],[Relevance]]="Input provided", Count&gt;=1),
       IF(M_ChronicScheme="C(mix)",
                 HLOOKUP(Mammal_Chronic[[#This Row],[Crop]], Input_Scenario,10,FALSE)*Mammal_Chronic[[#This Row],[SVm]]*HLOOKUP(Mammal_Chronic[[#This Row],[Crop]],Input_Scenario,8,FALSE),""),"")</f>
        <v/>
      </c>
      <c r="H44" s="368" t="str">
        <f t="shared" si="1"/>
        <v/>
      </c>
      <c r="I44" s="370" t="str">
        <f>IFERROR(IF(Active1=TRUE,HLOOKUP(Mammal_Chronic[[#This Row],[Crop]],Input_Scenario,11,FALSE)*HLOOKUP(Mammal_Chronic[[#This Row],[Crop]],Input_Scenario,8,FALSE)*Mammal_Chronic[[#This Row],[SVm]],""),"")</f>
        <v/>
      </c>
      <c r="J44" s="370" t="str">
        <f t="shared" ca="1" si="2"/>
        <v/>
      </c>
      <c r="K44" s="370" t="str">
        <f>IFERROR(IF(Active2=TRUE,HLOOKUP(Mammal_Chronic[[#This Row],[Crop]],Input_Scenario,12,FALSE)*HLOOKUP(Mammal_Chronic[[#This Row],[Crop]],Input_Scenario,8,FALSE)*Mammal_Chronic[[#This Row],[SVm]],""),"")</f>
        <v/>
      </c>
      <c r="L44" s="370" t="str">
        <f ca="1">IF($B$3&lt;&gt;"Passive",IFERROR(IF(ISNUMBER(INDEX(Active[M_NOAEL], 2)),
                          INDEX(Active[M_NOAEL], 2)/K44,""),""),"")</f>
        <v/>
      </c>
      <c r="M44" s="370" t="str">
        <f>IFERROR(IF(Active3=TRUE,HLOOKUP(Mammal_Chronic[[#This Row],[Crop]],Input_Scenario,13,FALSE)*HLOOKUP(Mammal_Chronic[[#This Row],[Crop]],Input_Scenario,8,FALSE)*Mammal_Chronic[[#This Row],[SVm]],""),"")</f>
        <v/>
      </c>
      <c r="N44" s="370" t="str">
        <f ca="1">IF($B$3&lt;&gt;"Passive",IFERROR(IF(ISNUMBER(INDEX(Active[M_NOAEL], 3)),
                          INDEX(Active[M_NOAEL], 3)/M44,""),""),"")</f>
        <v/>
      </c>
      <c r="O44" s="370" t="str">
        <f>IFERROR(IF(Active4=TRUE,HLOOKUP(Mammal_Chronic[[#This Row],[Crop]],Input_Scenario,14,FALSE)*HLOOKUP(Mammal_Chronic[[#This Row],[Crop]],Input_Scenario,8,FALSE)*Mammal_Chronic[[#This Row],[SVm]],""),"")</f>
        <v/>
      </c>
      <c r="P44" s="370" t="str">
        <f ca="1">IF($B$3&lt;&gt;"Passive",IFERROR(IF(ISNUMBER(INDEX(Active[M_NOAEL], 4)),
                          INDEX(Active[M_NOAEL], 4)/O44,""),""),"")</f>
        <v/>
      </c>
      <c r="Q44" s="370" t="str">
        <f>IFERROR(IF(Active5=TRUE,HLOOKUP(Mammal_Chronic[[#This Row],[Crop]],Input_Scenario,15,FALSE)*HLOOKUP(Mammal_Chronic[[#This Row],[Crop]],Input_Scenario,8,FALSE)*Mammal_Chronic[[#This Row],[SVm]],""),"")</f>
        <v/>
      </c>
      <c r="R44" s="370" t="str">
        <f ca="1">IF($B$3&lt;&gt;"Passive",IFERROR(IF(ISNUMBER(INDEX(Active[M_NOAEL], 5)),
                          INDEX(Active[M_NOAEL], 5)/Q44,""),""),"")</f>
        <v/>
      </c>
    </row>
    <row r="45" spans="1:18">
      <c r="A45" s="56"/>
      <c r="B45" s="314" t="str">
        <f t="shared" ca="1" si="0"/>
        <v>No input</v>
      </c>
      <c r="C45" s="72" t="s">
        <v>112</v>
      </c>
      <c r="D45" s="73" t="s">
        <v>245</v>
      </c>
      <c r="E45" s="73" t="s">
        <v>274</v>
      </c>
      <c r="F45" s="113">
        <v>9.6999999999999993</v>
      </c>
      <c r="G45" s="203" t="str">
        <f ca="1">IF(AND(Mammal_Chronic[[#This Row],[Relevance]]="Input provided", Count&gt;=1),
       IF(M_ChronicScheme="C(mix)",
                 HLOOKUP(Mammal_Chronic[[#This Row],[Crop]], Input_Scenario,10,FALSE)*Mammal_Chronic[[#This Row],[SVm]]*HLOOKUP(Mammal_Chronic[[#This Row],[Crop]],Input_Scenario,8,FALSE),""),"")</f>
        <v/>
      </c>
      <c r="H45" s="368" t="str">
        <f t="shared" si="1"/>
        <v/>
      </c>
      <c r="I45" s="370" t="str">
        <f>IFERROR(IF(Active1=TRUE,HLOOKUP(Mammal_Chronic[[#This Row],[Crop]],Input_Scenario,11,FALSE)*HLOOKUP(Mammal_Chronic[[#This Row],[Crop]],Input_Scenario,8,FALSE)*Mammal_Chronic[[#This Row],[SVm]],""),"")</f>
        <v/>
      </c>
      <c r="J45" s="370" t="str">
        <f t="shared" ca="1" si="2"/>
        <v/>
      </c>
      <c r="K45" s="370" t="str">
        <f>IFERROR(IF(Active2=TRUE,HLOOKUP(Mammal_Chronic[[#This Row],[Crop]],Input_Scenario,12,FALSE)*HLOOKUP(Mammal_Chronic[[#This Row],[Crop]],Input_Scenario,8,FALSE)*Mammal_Chronic[[#This Row],[SVm]],""),"")</f>
        <v/>
      </c>
      <c r="L45" s="370" t="str">
        <f ca="1">IF($B$3&lt;&gt;"Passive",IFERROR(IF(ISNUMBER(INDEX(Active[M_NOAEL], 2)),
                          INDEX(Active[M_NOAEL], 2)/K45,""),""),"")</f>
        <v/>
      </c>
      <c r="M45" s="370" t="str">
        <f>IFERROR(IF(Active3=TRUE,HLOOKUP(Mammal_Chronic[[#This Row],[Crop]],Input_Scenario,13,FALSE)*HLOOKUP(Mammal_Chronic[[#This Row],[Crop]],Input_Scenario,8,FALSE)*Mammal_Chronic[[#This Row],[SVm]],""),"")</f>
        <v/>
      </c>
      <c r="N45" s="370" t="str">
        <f ca="1">IF($B$3&lt;&gt;"Passive",IFERROR(IF(ISNUMBER(INDEX(Active[M_NOAEL], 3)),
                          INDEX(Active[M_NOAEL], 3)/M45,""),""),"")</f>
        <v/>
      </c>
      <c r="O45" s="370" t="str">
        <f>IFERROR(IF(Active4=TRUE,HLOOKUP(Mammal_Chronic[[#This Row],[Crop]],Input_Scenario,14,FALSE)*HLOOKUP(Mammal_Chronic[[#This Row],[Crop]],Input_Scenario,8,FALSE)*Mammal_Chronic[[#This Row],[SVm]],""),"")</f>
        <v/>
      </c>
      <c r="P45" s="370" t="str">
        <f ca="1">IF($B$3&lt;&gt;"Passive",IFERROR(IF(ISNUMBER(INDEX(Active[M_NOAEL], 4)),
                          INDEX(Active[M_NOAEL], 4)/O45,""),""),"")</f>
        <v/>
      </c>
      <c r="Q45" s="370" t="str">
        <f>IFERROR(IF(Active5=TRUE,HLOOKUP(Mammal_Chronic[[#This Row],[Crop]],Input_Scenario,15,FALSE)*HLOOKUP(Mammal_Chronic[[#This Row],[Crop]],Input_Scenario,8,FALSE)*Mammal_Chronic[[#This Row],[SVm]],""),"")</f>
        <v/>
      </c>
      <c r="R45" s="370" t="str">
        <f ca="1">IF($B$3&lt;&gt;"Passive",IFERROR(IF(ISNUMBER(INDEX(Active[M_NOAEL], 5)),
                          INDEX(Active[M_NOAEL], 5)/Q45,""),""),"")</f>
        <v/>
      </c>
    </row>
    <row r="46" spans="1:18">
      <c r="A46" s="56"/>
      <c r="B46" s="314" t="str">
        <f t="shared" ca="1" si="0"/>
        <v>No input</v>
      </c>
      <c r="C46" s="72" t="s">
        <v>112</v>
      </c>
      <c r="D46" s="73" t="s">
        <v>109</v>
      </c>
      <c r="E46" s="73" t="s">
        <v>271</v>
      </c>
      <c r="F46" s="113">
        <v>2.2999999999999998</v>
      </c>
      <c r="G46" s="203" t="str">
        <f ca="1">IF(AND(Mammal_Chronic[[#This Row],[Relevance]]="Input provided", Count&gt;=1),
       IF(M_ChronicScheme="C(mix)",
                 HLOOKUP(Mammal_Chronic[[#This Row],[Crop]], Input_Scenario,10,FALSE)*Mammal_Chronic[[#This Row],[SVm]]*HLOOKUP(Mammal_Chronic[[#This Row],[Crop]],Input_Scenario,8,FALSE),""),"")</f>
        <v/>
      </c>
      <c r="H46" s="368" t="str">
        <f t="shared" si="1"/>
        <v/>
      </c>
      <c r="I46" s="370" t="str">
        <f>IFERROR(IF(Active1=TRUE,HLOOKUP(Mammal_Chronic[[#This Row],[Crop]],Input_Scenario,11,FALSE)*HLOOKUP(Mammal_Chronic[[#This Row],[Crop]],Input_Scenario,8,FALSE)*Mammal_Chronic[[#This Row],[SVm]],""),"")</f>
        <v/>
      </c>
      <c r="J46" s="370" t="str">
        <f t="shared" ca="1" si="2"/>
        <v/>
      </c>
      <c r="K46" s="370" t="str">
        <f>IFERROR(IF(Active2=TRUE,HLOOKUP(Mammal_Chronic[[#This Row],[Crop]],Input_Scenario,12,FALSE)*HLOOKUP(Mammal_Chronic[[#This Row],[Crop]],Input_Scenario,8,FALSE)*Mammal_Chronic[[#This Row],[SVm]],""),"")</f>
        <v/>
      </c>
      <c r="L46" s="370" t="str">
        <f ca="1">IF($B$3&lt;&gt;"Passive",IFERROR(IF(ISNUMBER(INDEX(Active[M_NOAEL], 2)),
                          INDEX(Active[M_NOAEL], 2)/K46,""),""),"")</f>
        <v/>
      </c>
      <c r="M46" s="370" t="str">
        <f>IFERROR(IF(Active3=TRUE,HLOOKUP(Mammal_Chronic[[#This Row],[Crop]],Input_Scenario,13,FALSE)*HLOOKUP(Mammal_Chronic[[#This Row],[Crop]],Input_Scenario,8,FALSE)*Mammal_Chronic[[#This Row],[SVm]],""),"")</f>
        <v/>
      </c>
      <c r="N46" s="370" t="str">
        <f ca="1">IF($B$3&lt;&gt;"Passive",IFERROR(IF(ISNUMBER(INDEX(Active[M_NOAEL], 3)),
                          INDEX(Active[M_NOAEL], 3)/M46,""),""),"")</f>
        <v/>
      </c>
      <c r="O46" s="370" t="str">
        <f>IFERROR(IF(Active4=TRUE,HLOOKUP(Mammal_Chronic[[#This Row],[Crop]],Input_Scenario,14,FALSE)*HLOOKUP(Mammal_Chronic[[#This Row],[Crop]],Input_Scenario,8,FALSE)*Mammal_Chronic[[#This Row],[SVm]],""),"")</f>
        <v/>
      </c>
      <c r="P46" s="370" t="str">
        <f ca="1">IF($B$3&lt;&gt;"Passive",IFERROR(IF(ISNUMBER(INDEX(Active[M_NOAEL], 4)),
                          INDEX(Active[M_NOAEL], 4)/O46,""),""),"")</f>
        <v/>
      </c>
      <c r="Q46" s="370" t="str">
        <f>IFERROR(IF(Active5=TRUE,HLOOKUP(Mammal_Chronic[[#This Row],[Crop]],Input_Scenario,15,FALSE)*HLOOKUP(Mammal_Chronic[[#This Row],[Crop]],Input_Scenario,8,FALSE)*Mammal_Chronic[[#This Row],[SVm]],""),"")</f>
        <v/>
      </c>
      <c r="R46" s="370" t="str">
        <f ca="1">IF($B$3&lt;&gt;"Passive",IFERROR(IF(ISNUMBER(INDEX(Active[M_NOAEL], 5)),
                          INDEX(Active[M_NOAEL], 5)/Q46,""),""),"")</f>
        <v/>
      </c>
    </row>
    <row r="47" spans="1:18">
      <c r="A47" s="56"/>
      <c r="B47" s="314" t="str">
        <f t="shared" ca="1" si="0"/>
        <v>No input</v>
      </c>
      <c r="C47" s="72" t="s">
        <v>118</v>
      </c>
      <c r="D47" s="73" t="s">
        <v>108</v>
      </c>
      <c r="E47" s="73" t="s">
        <v>272</v>
      </c>
      <c r="F47" s="113">
        <v>4.2</v>
      </c>
      <c r="G47" s="203" t="str">
        <f ca="1">IF(AND(Mammal_Chronic[[#This Row],[Relevance]]="Input provided", Count&gt;=1),
       IF(M_ChronicScheme="C(mix)",
                 HLOOKUP(Mammal_Chronic[[#This Row],[Crop]], Input_Scenario,10,FALSE)*Mammal_Chronic[[#This Row],[SVm]]*HLOOKUP(Mammal_Chronic[[#This Row],[Crop]],Input_Scenario,8,FALSE),""),"")</f>
        <v/>
      </c>
      <c r="H47" s="368" t="str">
        <f t="shared" si="1"/>
        <v/>
      </c>
      <c r="I47" s="370" t="str">
        <f>IFERROR(IF(Active1=TRUE,HLOOKUP(Mammal_Chronic[[#This Row],[Crop]],Input_Scenario,11,FALSE)*HLOOKUP(Mammal_Chronic[[#This Row],[Crop]],Input_Scenario,8,FALSE)*Mammal_Chronic[[#This Row],[SVm]],""),"")</f>
        <v/>
      </c>
      <c r="J47" s="370" t="str">
        <f t="shared" ca="1" si="2"/>
        <v/>
      </c>
      <c r="K47" s="370" t="str">
        <f>IFERROR(IF(Active2=TRUE,HLOOKUP(Mammal_Chronic[[#This Row],[Crop]],Input_Scenario,12,FALSE)*HLOOKUP(Mammal_Chronic[[#This Row],[Crop]],Input_Scenario,8,FALSE)*Mammal_Chronic[[#This Row],[SVm]],""),"")</f>
        <v/>
      </c>
      <c r="L47" s="370" t="str">
        <f ca="1">IF($B$3&lt;&gt;"Passive",IFERROR(IF(ISNUMBER(INDEX(Active[M_NOAEL], 2)),
                          INDEX(Active[M_NOAEL], 2)/K47,""),""),"")</f>
        <v/>
      </c>
      <c r="M47" s="370" t="str">
        <f>IFERROR(IF(Active3=TRUE,HLOOKUP(Mammal_Chronic[[#This Row],[Crop]],Input_Scenario,13,FALSE)*HLOOKUP(Mammal_Chronic[[#This Row],[Crop]],Input_Scenario,8,FALSE)*Mammal_Chronic[[#This Row],[SVm]],""),"")</f>
        <v/>
      </c>
      <c r="N47" s="370" t="str">
        <f ca="1">IF($B$3&lt;&gt;"Passive",IFERROR(IF(ISNUMBER(INDEX(Active[M_NOAEL], 3)),
                          INDEX(Active[M_NOAEL], 3)/M47,""),""),"")</f>
        <v/>
      </c>
      <c r="O47" s="370" t="str">
        <f>IFERROR(IF(Active4=TRUE,HLOOKUP(Mammal_Chronic[[#This Row],[Crop]],Input_Scenario,14,FALSE)*HLOOKUP(Mammal_Chronic[[#This Row],[Crop]],Input_Scenario,8,FALSE)*Mammal_Chronic[[#This Row],[SVm]],""),"")</f>
        <v/>
      </c>
      <c r="P47" s="370" t="str">
        <f ca="1">IF($B$3&lt;&gt;"Passive",IFERROR(IF(ISNUMBER(INDEX(Active[M_NOAEL], 4)),
                          INDEX(Active[M_NOAEL], 4)/O47,""),""),"")</f>
        <v/>
      </c>
      <c r="Q47" s="370" t="str">
        <f>IFERROR(IF(Active5=TRUE,HLOOKUP(Mammal_Chronic[[#This Row],[Crop]],Input_Scenario,15,FALSE)*HLOOKUP(Mammal_Chronic[[#This Row],[Crop]],Input_Scenario,8,FALSE)*Mammal_Chronic[[#This Row],[SVm]],""),"")</f>
        <v/>
      </c>
      <c r="R47" s="370" t="str">
        <f ca="1">IF($B$3&lt;&gt;"Passive",IFERROR(IF(ISNUMBER(INDEX(Active[M_NOAEL], 5)),
                          INDEX(Active[M_NOAEL], 5)/Q47,""),""),"")</f>
        <v/>
      </c>
    </row>
    <row r="48" spans="1:18">
      <c r="A48" s="56"/>
      <c r="B48" s="314" t="str">
        <f t="shared" ca="1" si="0"/>
        <v>No input</v>
      </c>
      <c r="C48" s="72" t="s">
        <v>118</v>
      </c>
      <c r="D48" s="73" t="s">
        <v>111</v>
      </c>
      <c r="E48" s="73" t="s">
        <v>272</v>
      </c>
      <c r="F48" s="113">
        <v>1.9</v>
      </c>
      <c r="G48" s="203" t="str">
        <f ca="1">IF(AND(Mammal_Chronic[[#This Row],[Relevance]]="Input provided", Count&gt;=1),
       IF(M_ChronicScheme="C(mix)",
                 HLOOKUP(Mammal_Chronic[[#This Row],[Crop]], Input_Scenario,10,FALSE)*Mammal_Chronic[[#This Row],[SVm]]*HLOOKUP(Mammal_Chronic[[#This Row],[Crop]],Input_Scenario,8,FALSE),""),"")</f>
        <v/>
      </c>
      <c r="H48" s="368" t="str">
        <f t="shared" si="1"/>
        <v/>
      </c>
      <c r="I48" s="370" t="str">
        <f>IFERROR(IF(Active1=TRUE,HLOOKUP(Mammal_Chronic[[#This Row],[Crop]],Input_Scenario,11,FALSE)*HLOOKUP(Mammal_Chronic[[#This Row],[Crop]],Input_Scenario,8,FALSE)*Mammal_Chronic[[#This Row],[SVm]],""),"")</f>
        <v/>
      </c>
      <c r="J48" s="370" t="str">
        <f t="shared" ca="1" si="2"/>
        <v/>
      </c>
      <c r="K48" s="370" t="str">
        <f>IFERROR(IF(Active2=TRUE,HLOOKUP(Mammal_Chronic[[#This Row],[Crop]],Input_Scenario,12,FALSE)*HLOOKUP(Mammal_Chronic[[#This Row],[Crop]],Input_Scenario,8,FALSE)*Mammal_Chronic[[#This Row],[SVm]],""),"")</f>
        <v/>
      </c>
      <c r="L48" s="370" t="str">
        <f ca="1">IF($B$3&lt;&gt;"Passive",IFERROR(IF(ISNUMBER(INDEX(Active[M_NOAEL], 2)),
                          INDEX(Active[M_NOAEL], 2)/K48,""),""),"")</f>
        <v/>
      </c>
      <c r="M48" s="370" t="str">
        <f>IFERROR(IF(Active3=TRUE,HLOOKUP(Mammal_Chronic[[#This Row],[Crop]],Input_Scenario,13,FALSE)*HLOOKUP(Mammal_Chronic[[#This Row],[Crop]],Input_Scenario,8,FALSE)*Mammal_Chronic[[#This Row],[SVm]],""),"")</f>
        <v/>
      </c>
      <c r="N48" s="370" t="str">
        <f ca="1">IF($B$3&lt;&gt;"Passive",IFERROR(IF(ISNUMBER(INDEX(Active[M_NOAEL], 3)),
                          INDEX(Active[M_NOAEL], 3)/M48,""),""),"")</f>
        <v/>
      </c>
      <c r="O48" s="370" t="str">
        <f>IFERROR(IF(Active4=TRUE,HLOOKUP(Mammal_Chronic[[#This Row],[Crop]],Input_Scenario,14,FALSE)*HLOOKUP(Mammal_Chronic[[#This Row],[Crop]],Input_Scenario,8,FALSE)*Mammal_Chronic[[#This Row],[SVm]],""),"")</f>
        <v/>
      </c>
      <c r="P48" s="370" t="str">
        <f ca="1">IF($B$3&lt;&gt;"Passive",IFERROR(IF(ISNUMBER(INDEX(Active[M_NOAEL], 4)),
                          INDEX(Active[M_NOAEL], 4)/O48,""),""),"")</f>
        <v/>
      </c>
      <c r="Q48" s="370" t="str">
        <f>IFERROR(IF(Active5=TRUE,HLOOKUP(Mammal_Chronic[[#This Row],[Crop]],Input_Scenario,15,FALSE)*HLOOKUP(Mammal_Chronic[[#This Row],[Crop]],Input_Scenario,8,FALSE)*Mammal_Chronic[[#This Row],[SVm]],""),"")</f>
        <v/>
      </c>
      <c r="R48" s="370" t="str">
        <f ca="1">IF($B$3&lt;&gt;"Passive",IFERROR(IF(ISNUMBER(INDEX(Active[M_NOAEL], 5)),
                          INDEX(Active[M_NOAEL], 5)/Q48,""),""),"")</f>
        <v/>
      </c>
    </row>
    <row r="49" spans="1:18">
      <c r="A49" s="56"/>
      <c r="B49" s="314" t="str">
        <f t="shared" ca="1" si="0"/>
        <v>No input</v>
      </c>
      <c r="C49" s="72" t="s">
        <v>118</v>
      </c>
      <c r="D49" s="73" t="s">
        <v>109</v>
      </c>
      <c r="E49" s="73" t="s">
        <v>273</v>
      </c>
      <c r="F49" s="113">
        <v>21.7</v>
      </c>
      <c r="G49" s="203" t="str">
        <f ca="1">IF(AND(Mammal_Chronic[[#This Row],[Relevance]]="Input provided", Count&gt;=1),
       IF(M_ChronicScheme="C(mix)",
                 HLOOKUP(Mammal_Chronic[[#This Row],[Crop]], Input_Scenario,10,FALSE)*Mammal_Chronic[[#This Row],[SVm]]*HLOOKUP(Mammal_Chronic[[#This Row],[Crop]],Input_Scenario,8,FALSE),""),"")</f>
        <v/>
      </c>
      <c r="H49" s="368" t="str">
        <f t="shared" si="1"/>
        <v/>
      </c>
      <c r="I49" s="370" t="str">
        <f>IFERROR(IF(Active1=TRUE,HLOOKUP(Mammal_Chronic[[#This Row],[Crop]],Input_Scenario,11,FALSE)*HLOOKUP(Mammal_Chronic[[#This Row],[Crop]],Input_Scenario,8,FALSE)*Mammal_Chronic[[#This Row],[SVm]],""),"")</f>
        <v/>
      </c>
      <c r="J49" s="370" t="str">
        <f t="shared" ca="1" si="2"/>
        <v/>
      </c>
      <c r="K49" s="370" t="str">
        <f>IFERROR(IF(Active2=TRUE,HLOOKUP(Mammal_Chronic[[#This Row],[Crop]],Input_Scenario,12,FALSE)*HLOOKUP(Mammal_Chronic[[#This Row],[Crop]],Input_Scenario,8,FALSE)*Mammal_Chronic[[#This Row],[SVm]],""),"")</f>
        <v/>
      </c>
      <c r="L49" s="370" t="str">
        <f ca="1">IF($B$3&lt;&gt;"Passive",IFERROR(IF(ISNUMBER(INDEX(Active[M_NOAEL], 2)),
                          INDEX(Active[M_NOAEL], 2)/K49,""),""),"")</f>
        <v/>
      </c>
      <c r="M49" s="370" t="str">
        <f>IFERROR(IF(Active3=TRUE,HLOOKUP(Mammal_Chronic[[#This Row],[Crop]],Input_Scenario,13,FALSE)*HLOOKUP(Mammal_Chronic[[#This Row],[Crop]],Input_Scenario,8,FALSE)*Mammal_Chronic[[#This Row],[SVm]],""),"")</f>
        <v/>
      </c>
      <c r="N49" s="370" t="str">
        <f ca="1">IF($B$3&lt;&gt;"Passive",IFERROR(IF(ISNUMBER(INDEX(Active[M_NOAEL], 3)),
                          INDEX(Active[M_NOAEL], 3)/M49,""),""),"")</f>
        <v/>
      </c>
      <c r="O49" s="370" t="str">
        <f>IFERROR(IF(Active4=TRUE,HLOOKUP(Mammal_Chronic[[#This Row],[Crop]],Input_Scenario,14,FALSE)*HLOOKUP(Mammal_Chronic[[#This Row],[Crop]],Input_Scenario,8,FALSE)*Mammal_Chronic[[#This Row],[SVm]],""),"")</f>
        <v/>
      </c>
      <c r="P49" s="370" t="str">
        <f ca="1">IF($B$3&lt;&gt;"Passive",IFERROR(IF(ISNUMBER(INDEX(Active[M_NOAEL], 4)),
                          INDEX(Active[M_NOAEL], 4)/O49,""),""),"")</f>
        <v/>
      </c>
      <c r="Q49" s="370" t="str">
        <f>IFERROR(IF(Active5=TRUE,HLOOKUP(Mammal_Chronic[[#This Row],[Crop]],Input_Scenario,15,FALSE)*HLOOKUP(Mammal_Chronic[[#This Row],[Crop]],Input_Scenario,8,FALSE)*Mammal_Chronic[[#This Row],[SVm]],""),"")</f>
        <v/>
      </c>
      <c r="R49" s="370" t="str">
        <f ca="1">IF($B$3&lt;&gt;"Passive",IFERROR(IF(ISNUMBER(INDEX(Active[M_NOAEL], 5)),
                          INDEX(Active[M_NOAEL], 5)/Q49,""),""),"")</f>
        <v/>
      </c>
    </row>
    <row r="50" spans="1:18">
      <c r="A50" s="56"/>
      <c r="B50" s="314" t="str">
        <f t="shared" ca="1" si="0"/>
        <v>No input</v>
      </c>
      <c r="C50" s="72" t="s">
        <v>118</v>
      </c>
      <c r="D50" s="73" t="s">
        <v>248</v>
      </c>
      <c r="E50" s="73" t="s">
        <v>275</v>
      </c>
      <c r="F50" s="113">
        <v>22.3</v>
      </c>
      <c r="G50" s="203" t="str">
        <f ca="1">IF(AND(Mammal_Chronic[[#This Row],[Relevance]]="Input provided", Count&gt;=1),
       IF(M_ChronicScheme="C(mix)",
                 HLOOKUP(Mammal_Chronic[[#This Row],[Crop]], Input_Scenario,10,FALSE)*Mammal_Chronic[[#This Row],[SVm]]*HLOOKUP(Mammal_Chronic[[#This Row],[Crop]],Input_Scenario,8,FALSE),""),"")</f>
        <v/>
      </c>
      <c r="H50" s="368" t="str">
        <f t="shared" si="1"/>
        <v/>
      </c>
      <c r="I50" s="370" t="str">
        <f>IFERROR(IF(Active1=TRUE,HLOOKUP(Mammal_Chronic[[#This Row],[Crop]],Input_Scenario,11,FALSE)*HLOOKUP(Mammal_Chronic[[#This Row],[Crop]],Input_Scenario,8,FALSE)*Mammal_Chronic[[#This Row],[SVm]],""),"")</f>
        <v/>
      </c>
      <c r="J50" s="370" t="str">
        <f t="shared" ca="1" si="2"/>
        <v/>
      </c>
      <c r="K50" s="370" t="str">
        <f>IFERROR(IF(Active2=TRUE,HLOOKUP(Mammal_Chronic[[#This Row],[Crop]],Input_Scenario,12,FALSE)*HLOOKUP(Mammal_Chronic[[#This Row],[Crop]],Input_Scenario,8,FALSE)*Mammal_Chronic[[#This Row],[SVm]],""),"")</f>
        <v/>
      </c>
      <c r="L50" s="370" t="str">
        <f ca="1">IF($B$3&lt;&gt;"Passive",IFERROR(IF(ISNUMBER(INDEX(Active[M_NOAEL], 2)),
                          INDEX(Active[M_NOAEL], 2)/K50,""),""),"")</f>
        <v/>
      </c>
      <c r="M50" s="370" t="str">
        <f>IFERROR(IF(Active3=TRUE,HLOOKUP(Mammal_Chronic[[#This Row],[Crop]],Input_Scenario,13,FALSE)*HLOOKUP(Mammal_Chronic[[#This Row],[Crop]],Input_Scenario,8,FALSE)*Mammal_Chronic[[#This Row],[SVm]],""),"")</f>
        <v/>
      </c>
      <c r="N50" s="370" t="str">
        <f ca="1">IF($B$3&lt;&gt;"Passive",IFERROR(IF(ISNUMBER(INDEX(Active[M_NOAEL], 3)),
                          INDEX(Active[M_NOAEL], 3)/M50,""),""),"")</f>
        <v/>
      </c>
      <c r="O50" s="370" t="str">
        <f>IFERROR(IF(Active4=TRUE,HLOOKUP(Mammal_Chronic[[#This Row],[Crop]],Input_Scenario,14,FALSE)*HLOOKUP(Mammal_Chronic[[#This Row],[Crop]],Input_Scenario,8,FALSE)*Mammal_Chronic[[#This Row],[SVm]],""),"")</f>
        <v/>
      </c>
      <c r="P50" s="370" t="str">
        <f ca="1">IF($B$3&lt;&gt;"Passive",IFERROR(IF(ISNUMBER(INDEX(Active[M_NOAEL], 4)),
                          INDEX(Active[M_NOAEL], 4)/O50,""),""),"")</f>
        <v/>
      </c>
      <c r="Q50" s="370" t="str">
        <f>IFERROR(IF(Active5=TRUE,HLOOKUP(Mammal_Chronic[[#This Row],[Crop]],Input_Scenario,15,FALSE)*HLOOKUP(Mammal_Chronic[[#This Row],[Crop]],Input_Scenario,8,FALSE)*Mammal_Chronic[[#This Row],[SVm]],""),"")</f>
        <v/>
      </c>
      <c r="R50" s="370" t="str">
        <f ca="1">IF($B$3&lt;&gt;"Passive",IFERROR(IF(ISNUMBER(INDEX(Active[M_NOAEL], 5)),
                          INDEX(Active[M_NOAEL], 5)/Q50,""),""),"")</f>
        <v/>
      </c>
    </row>
    <row r="51" spans="1:18">
      <c r="A51" s="56"/>
      <c r="B51" s="314" t="str">
        <f t="shared" ca="1" si="0"/>
        <v>No input</v>
      </c>
      <c r="C51" s="72" t="s">
        <v>118</v>
      </c>
      <c r="D51" s="73" t="s">
        <v>119</v>
      </c>
      <c r="E51" s="73" t="s">
        <v>271</v>
      </c>
      <c r="F51" s="113">
        <v>7.8</v>
      </c>
      <c r="G51" s="203" t="str">
        <f ca="1">IF(AND(Mammal_Chronic[[#This Row],[Relevance]]="Input provided", Count&gt;=1),
       IF(M_ChronicScheme="C(mix)",
                 HLOOKUP(Mammal_Chronic[[#This Row],[Crop]], Input_Scenario,10,FALSE)*Mammal_Chronic[[#This Row],[SVm]]*HLOOKUP(Mammal_Chronic[[#This Row],[Crop]],Input_Scenario,8,FALSE),""),"")</f>
        <v/>
      </c>
      <c r="H51" s="368" t="str">
        <f t="shared" si="1"/>
        <v/>
      </c>
      <c r="I51" s="370" t="str">
        <f>IFERROR(IF(Active1=TRUE,HLOOKUP(Mammal_Chronic[[#This Row],[Crop]],Input_Scenario,11,FALSE)*HLOOKUP(Mammal_Chronic[[#This Row],[Crop]],Input_Scenario,8,FALSE)*Mammal_Chronic[[#This Row],[SVm]],""),"")</f>
        <v/>
      </c>
      <c r="J51" s="370" t="str">
        <f t="shared" ca="1" si="2"/>
        <v/>
      </c>
      <c r="K51" s="370" t="str">
        <f>IFERROR(IF(Active2=TRUE,HLOOKUP(Mammal_Chronic[[#This Row],[Crop]],Input_Scenario,12,FALSE)*HLOOKUP(Mammal_Chronic[[#This Row],[Crop]],Input_Scenario,8,FALSE)*Mammal_Chronic[[#This Row],[SVm]],""),"")</f>
        <v/>
      </c>
      <c r="L51" s="370" t="str">
        <f ca="1">IF($B$3&lt;&gt;"Passive",IFERROR(IF(ISNUMBER(INDEX(Active[M_NOAEL], 2)),
                          INDEX(Active[M_NOAEL], 2)/K51,""),""),"")</f>
        <v/>
      </c>
      <c r="M51" s="370" t="str">
        <f>IFERROR(IF(Active3=TRUE,HLOOKUP(Mammal_Chronic[[#This Row],[Crop]],Input_Scenario,13,FALSE)*HLOOKUP(Mammal_Chronic[[#This Row],[Crop]],Input_Scenario,8,FALSE)*Mammal_Chronic[[#This Row],[SVm]],""),"")</f>
        <v/>
      </c>
      <c r="N51" s="370" t="str">
        <f ca="1">IF($B$3&lt;&gt;"Passive",IFERROR(IF(ISNUMBER(INDEX(Active[M_NOAEL], 3)),
                          INDEX(Active[M_NOAEL], 3)/M51,""),""),"")</f>
        <v/>
      </c>
      <c r="O51" s="370" t="str">
        <f>IFERROR(IF(Active4=TRUE,HLOOKUP(Mammal_Chronic[[#This Row],[Crop]],Input_Scenario,14,FALSE)*HLOOKUP(Mammal_Chronic[[#This Row],[Crop]],Input_Scenario,8,FALSE)*Mammal_Chronic[[#This Row],[SVm]],""),"")</f>
        <v/>
      </c>
      <c r="P51" s="370" t="str">
        <f ca="1">IF($B$3&lt;&gt;"Passive",IFERROR(IF(ISNUMBER(INDEX(Active[M_NOAEL], 4)),
                          INDEX(Active[M_NOAEL], 4)/O51,""),""),"")</f>
        <v/>
      </c>
      <c r="Q51" s="370" t="str">
        <f>IFERROR(IF(Active5=TRUE,HLOOKUP(Mammal_Chronic[[#This Row],[Crop]],Input_Scenario,15,FALSE)*HLOOKUP(Mammal_Chronic[[#This Row],[Crop]],Input_Scenario,8,FALSE)*Mammal_Chronic[[#This Row],[SVm]],""),"")</f>
        <v/>
      </c>
      <c r="R51" s="370" t="str">
        <f ca="1">IF($B$3&lt;&gt;"Passive",IFERROR(IF(ISNUMBER(INDEX(Active[M_NOAEL], 5)),
                          INDEX(Active[M_NOAEL], 5)/Q51,""),""),"")</f>
        <v/>
      </c>
    </row>
    <row r="52" spans="1:18">
      <c r="A52" s="56"/>
      <c r="B52" s="314" t="str">
        <f t="shared" ca="1" si="0"/>
        <v>No input</v>
      </c>
      <c r="C52" s="72" t="s">
        <v>118</v>
      </c>
      <c r="D52" s="73" t="s">
        <v>123</v>
      </c>
      <c r="E52" s="73" t="s">
        <v>271</v>
      </c>
      <c r="F52" s="113">
        <v>3.9</v>
      </c>
      <c r="G52" s="203" t="str">
        <f ca="1">IF(AND(Mammal_Chronic[[#This Row],[Relevance]]="Input provided", Count&gt;=1),
       IF(M_ChronicScheme="C(mix)",
                 HLOOKUP(Mammal_Chronic[[#This Row],[Crop]], Input_Scenario,10,FALSE)*Mammal_Chronic[[#This Row],[SVm]]*HLOOKUP(Mammal_Chronic[[#This Row],[Crop]],Input_Scenario,8,FALSE),""),"")</f>
        <v/>
      </c>
      <c r="H52" s="368" t="str">
        <f t="shared" si="1"/>
        <v/>
      </c>
      <c r="I52" s="370" t="str">
        <f>IFERROR(IF(Active1=TRUE,HLOOKUP(Mammal_Chronic[[#This Row],[Crop]],Input_Scenario,11,FALSE)*HLOOKUP(Mammal_Chronic[[#This Row],[Crop]],Input_Scenario,8,FALSE)*Mammal_Chronic[[#This Row],[SVm]],""),"")</f>
        <v/>
      </c>
      <c r="J52" s="370" t="str">
        <f t="shared" ca="1" si="2"/>
        <v/>
      </c>
      <c r="K52" s="370" t="str">
        <f>IFERROR(IF(Active2=TRUE,HLOOKUP(Mammal_Chronic[[#This Row],[Crop]],Input_Scenario,12,FALSE)*HLOOKUP(Mammal_Chronic[[#This Row],[Crop]],Input_Scenario,8,FALSE)*Mammal_Chronic[[#This Row],[SVm]],""),"")</f>
        <v/>
      </c>
      <c r="L52" s="370" t="str">
        <f ca="1">IF($B$3&lt;&gt;"Passive",IFERROR(IF(ISNUMBER(INDEX(Active[M_NOAEL], 2)),
                          INDEX(Active[M_NOAEL], 2)/K52,""),""),"")</f>
        <v/>
      </c>
      <c r="M52" s="370" t="str">
        <f>IFERROR(IF(Active3=TRUE,HLOOKUP(Mammal_Chronic[[#This Row],[Crop]],Input_Scenario,13,FALSE)*HLOOKUP(Mammal_Chronic[[#This Row],[Crop]],Input_Scenario,8,FALSE)*Mammal_Chronic[[#This Row],[SVm]],""),"")</f>
        <v/>
      </c>
      <c r="N52" s="370" t="str">
        <f ca="1">IF($B$3&lt;&gt;"Passive",IFERROR(IF(ISNUMBER(INDEX(Active[M_NOAEL], 3)),
                          INDEX(Active[M_NOAEL], 3)/M52,""),""),"")</f>
        <v/>
      </c>
      <c r="O52" s="370" t="str">
        <f>IFERROR(IF(Active4=TRUE,HLOOKUP(Mammal_Chronic[[#This Row],[Crop]],Input_Scenario,14,FALSE)*HLOOKUP(Mammal_Chronic[[#This Row],[Crop]],Input_Scenario,8,FALSE)*Mammal_Chronic[[#This Row],[SVm]],""),"")</f>
        <v/>
      </c>
      <c r="P52" s="370" t="str">
        <f ca="1">IF($B$3&lt;&gt;"Passive",IFERROR(IF(ISNUMBER(INDEX(Active[M_NOAEL], 4)),
                          INDEX(Active[M_NOAEL], 4)/O52,""),""),"")</f>
        <v/>
      </c>
      <c r="Q52" s="370" t="str">
        <f>IFERROR(IF(Active5=TRUE,HLOOKUP(Mammal_Chronic[[#This Row],[Crop]],Input_Scenario,15,FALSE)*HLOOKUP(Mammal_Chronic[[#This Row],[Crop]],Input_Scenario,8,FALSE)*Mammal_Chronic[[#This Row],[SVm]],""),"")</f>
        <v/>
      </c>
      <c r="R52" s="370" t="str">
        <f ca="1">IF($B$3&lt;&gt;"Passive",IFERROR(IF(ISNUMBER(INDEX(Active[M_NOAEL], 5)),
                          INDEX(Active[M_NOAEL], 5)/Q52,""),""),"")</f>
        <v/>
      </c>
    </row>
    <row r="53" spans="1:18">
      <c r="A53" s="56"/>
      <c r="B53" s="314" t="str">
        <f t="shared" ca="1" si="0"/>
        <v>No input</v>
      </c>
      <c r="C53" s="72" t="s">
        <v>118</v>
      </c>
      <c r="D53" s="73" t="s">
        <v>109</v>
      </c>
      <c r="E53" s="73" t="s">
        <v>271</v>
      </c>
      <c r="F53" s="113">
        <v>2.2999999999999998</v>
      </c>
      <c r="G53" s="203" t="str">
        <f ca="1">IF(AND(Mammal_Chronic[[#This Row],[Relevance]]="Input provided", Count&gt;=1),
       IF(M_ChronicScheme="C(mix)",
                 HLOOKUP(Mammal_Chronic[[#This Row],[Crop]], Input_Scenario,10,FALSE)*Mammal_Chronic[[#This Row],[SVm]]*HLOOKUP(Mammal_Chronic[[#This Row],[Crop]],Input_Scenario,8,FALSE),""),"")</f>
        <v/>
      </c>
      <c r="H53" s="368" t="str">
        <f t="shared" si="1"/>
        <v/>
      </c>
      <c r="I53" s="370" t="str">
        <f>IFERROR(IF(Active1=TRUE,HLOOKUP(Mammal_Chronic[[#This Row],[Crop]],Input_Scenario,11,FALSE)*HLOOKUP(Mammal_Chronic[[#This Row],[Crop]],Input_Scenario,8,FALSE)*Mammal_Chronic[[#This Row],[SVm]],""),"")</f>
        <v/>
      </c>
      <c r="J53" s="370" t="str">
        <f t="shared" ca="1" si="2"/>
        <v/>
      </c>
      <c r="K53" s="370" t="str">
        <f>IFERROR(IF(Active2=TRUE,HLOOKUP(Mammal_Chronic[[#This Row],[Crop]],Input_Scenario,12,FALSE)*HLOOKUP(Mammal_Chronic[[#This Row],[Crop]],Input_Scenario,8,FALSE)*Mammal_Chronic[[#This Row],[SVm]],""),"")</f>
        <v/>
      </c>
      <c r="L53" s="370" t="str">
        <f ca="1">IF($B$3&lt;&gt;"Passive",IFERROR(IF(ISNUMBER(INDEX(Active[M_NOAEL], 2)),
                          INDEX(Active[M_NOAEL], 2)/K53,""),""),"")</f>
        <v/>
      </c>
      <c r="M53" s="370" t="str">
        <f>IFERROR(IF(Active3=TRUE,HLOOKUP(Mammal_Chronic[[#This Row],[Crop]],Input_Scenario,13,FALSE)*HLOOKUP(Mammal_Chronic[[#This Row],[Crop]],Input_Scenario,8,FALSE)*Mammal_Chronic[[#This Row],[SVm]],""),"")</f>
        <v/>
      </c>
      <c r="N53" s="370" t="str">
        <f ca="1">IF($B$3&lt;&gt;"Passive",IFERROR(IF(ISNUMBER(INDEX(Active[M_NOAEL], 3)),
                          INDEX(Active[M_NOAEL], 3)/M53,""),""),"")</f>
        <v/>
      </c>
      <c r="O53" s="370" t="str">
        <f>IFERROR(IF(Active4=TRUE,HLOOKUP(Mammal_Chronic[[#This Row],[Crop]],Input_Scenario,14,FALSE)*HLOOKUP(Mammal_Chronic[[#This Row],[Crop]],Input_Scenario,8,FALSE)*Mammal_Chronic[[#This Row],[SVm]],""),"")</f>
        <v/>
      </c>
      <c r="P53" s="370" t="str">
        <f ca="1">IF($B$3&lt;&gt;"Passive",IFERROR(IF(ISNUMBER(INDEX(Active[M_NOAEL], 4)),
                          INDEX(Active[M_NOAEL], 4)/O53,""),""),"")</f>
        <v/>
      </c>
      <c r="Q53" s="370" t="str">
        <f>IFERROR(IF(Active5=TRUE,HLOOKUP(Mammal_Chronic[[#This Row],[Crop]],Input_Scenario,15,FALSE)*HLOOKUP(Mammal_Chronic[[#This Row],[Crop]],Input_Scenario,8,FALSE)*Mammal_Chronic[[#This Row],[SVm]],""),"")</f>
        <v/>
      </c>
      <c r="R53" s="370" t="str">
        <f ca="1">IF($B$3&lt;&gt;"Passive",IFERROR(IF(ISNUMBER(INDEX(Active[M_NOAEL], 5)),
                          INDEX(Active[M_NOAEL], 5)/Q53,""),""),"")</f>
        <v/>
      </c>
    </row>
    <row r="54" spans="1:18">
      <c r="A54" s="56"/>
      <c r="B54" s="314" t="str">
        <f t="shared" ca="1" si="0"/>
        <v>No input</v>
      </c>
      <c r="C54" s="72" t="s">
        <v>129</v>
      </c>
      <c r="D54" s="73" t="s">
        <v>108</v>
      </c>
      <c r="E54" s="73" t="s">
        <v>272</v>
      </c>
      <c r="F54" s="113">
        <v>4.2</v>
      </c>
      <c r="G54" s="203" t="str">
        <f ca="1">IF(AND(Mammal_Chronic[[#This Row],[Relevance]]="Input provided", Count&gt;=1),
       IF(M_ChronicScheme="C(mix)",
                 HLOOKUP(Mammal_Chronic[[#This Row],[Crop]], Input_Scenario,10,FALSE)*Mammal_Chronic[[#This Row],[SVm]]*HLOOKUP(Mammal_Chronic[[#This Row],[Crop]],Input_Scenario,8,FALSE),""),"")</f>
        <v/>
      </c>
      <c r="H54" s="368" t="str">
        <f t="shared" si="1"/>
        <v/>
      </c>
      <c r="I54" s="370" t="str">
        <f>IFERROR(IF(Active1=TRUE,HLOOKUP(Mammal_Chronic[[#This Row],[Crop]],Input_Scenario,11,FALSE)*HLOOKUP(Mammal_Chronic[[#This Row],[Crop]],Input_Scenario,8,FALSE)*Mammal_Chronic[[#This Row],[SVm]],""),"")</f>
        <v/>
      </c>
      <c r="J54" s="370" t="str">
        <f t="shared" ca="1" si="2"/>
        <v/>
      </c>
      <c r="K54" s="370" t="str">
        <f>IFERROR(IF(Active2=TRUE,HLOOKUP(Mammal_Chronic[[#This Row],[Crop]],Input_Scenario,12,FALSE)*HLOOKUP(Mammal_Chronic[[#This Row],[Crop]],Input_Scenario,8,FALSE)*Mammal_Chronic[[#This Row],[SVm]],""),"")</f>
        <v/>
      </c>
      <c r="L54" s="370" t="str">
        <f ca="1">IF($B$3&lt;&gt;"Passive",IFERROR(IF(ISNUMBER(INDEX(Active[M_NOAEL], 2)),
                          INDEX(Active[M_NOAEL], 2)/K54,""),""),"")</f>
        <v/>
      </c>
      <c r="M54" s="370" t="str">
        <f>IFERROR(IF(Active3=TRUE,HLOOKUP(Mammal_Chronic[[#This Row],[Crop]],Input_Scenario,13,FALSE)*HLOOKUP(Mammal_Chronic[[#This Row],[Crop]],Input_Scenario,8,FALSE)*Mammal_Chronic[[#This Row],[SVm]],""),"")</f>
        <v/>
      </c>
      <c r="N54" s="370" t="str">
        <f ca="1">IF($B$3&lt;&gt;"Passive",IFERROR(IF(ISNUMBER(INDEX(Active[M_NOAEL], 3)),
                          INDEX(Active[M_NOAEL], 3)/M54,""),""),"")</f>
        <v/>
      </c>
      <c r="O54" s="370" t="str">
        <f>IFERROR(IF(Active4=TRUE,HLOOKUP(Mammal_Chronic[[#This Row],[Crop]],Input_Scenario,14,FALSE)*HLOOKUP(Mammal_Chronic[[#This Row],[Crop]],Input_Scenario,8,FALSE)*Mammal_Chronic[[#This Row],[SVm]],""),"")</f>
        <v/>
      </c>
      <c r="P54" s="370" t="str">
        <f ca="1">IF($B$3&lt;&gt;"Passive",IFERROR(IF(ISNUMBER(INDEX(Active[M_NOAEL], 4)),
                          INDEX(Active[M_NOAEL], 4)/O54,""),""),"")</f>
        <v/>
      </c>
      <c r="Q54" s="370" t="str">
        <f>IFERROR(IF(Active5=TRUE,HLOOKUP(Mammal_Chronic[[#This Row],[Crop]],Input_Scenario,15,FALSE)*HLOOKUP(Mammal_Chronic[[#This Row],[Crop]],Input_Scenario,8,FALSE)*Mammal_Chronic[[#This Row],[SVm]],""),"")</f>
        <v/>
      </c>
      <c r="R54" s="370" t="str">
        <f ca="1">IF($B$3&lt;&gt;"Passive",IFERROR(IF(ISNUMBER(INDEX(Active[M_NOAEL], 5)),
                          INDEX(Active[M_NOAEL], 5)/Q54,""),""),"")</f>
        <v/>
      </c>
    </row>
    <row r="55" spans="1:18">
      <c r="A55" s="56"/>
      <c r="B55" s="314" t="str">
        <f t="shared" ca="1" si="0"/>
        <v>No input</v>
      </c>
      <c r="C55" s="72" t="s">
        <v>129</v>
      </c>
      <c r="D55" s="73" t="s">
        <v>111</v>
      </c>
      <c r="E55" s="73" t="s">
        <v>272</v>
      </c>
      <c r="F55" s="113">
        <v>1.9</v>
      </c>
      <c r="G55" s="203" t="str">
        <f ca="1">IF(AND(Mammal_Chronic[[#This Row],[Relevance]]="Input provided", Count&gt;=1),
       IF(M_ChronicScheme="C(mix)",
                 HLOOKUP(Mammal_Chronic[[#This Row],[Crop]], Input_Scenario,10,FALSE)*Mammal_Chronic[[#This Row],[SVm]]*HLOOKUP(Mammal_Chronic[[#This Row],[Crop]],Input_Scenario,8,FALSE),""),"")</f>
        <v/>
      </c>
      <c r="H55" s="368" t="str">
        <f t="shared" si="1"/>
        <v/>
      </c>
      <c r="I55" s="370" t="str">
        <f>IFERROR(IF(Active1=TRUE,HLOOKUP(Mammal_Chronic[[#This Row],[Crop]],Input_Scenario,11,FALSE)*HLOOKUP(Mammal_Chronic[[#This Row],[Crop]],Input_Scenario,8,FALSE)*Mammal_Chronic[[#This Row],[SVm]],""),"")</f>
        <v/>
      </c>
      <c r="J55" s="370" t="str">
        <f t="shared" ca="1" si="2"/>
        <v/>
      </c>
      <c r="K55" s="370" t="str">
        <f>IFERROR(IF(Active2=TRUE,HLOOKUP(Mammal_Chronic[[#This Row],[Crop]],Input_Scenario,12,FALSE)*HLOOKUP(Mammal_Chronic[[#This Row],[Crop]],Input_Scenario,8,FALSE)*Mammal_Chronic[[#This Row],[SVm]],""),"")</f>
        <v/>
      </c>
      <c r="L55" s="370" t="str">
        <f ca="1">IF($B$3&lt;&gt;"Passive",IFERROR(IF(ISNUMBER(INDEX(Active[M_NOAEL], 2)),
                          INDEX(Active[M_NOAEL], 2)/K55,""),""),"")</f>
        <v/>
      </c>
      <c r="M55" s="370" t="str">
        <f>IFERROR(IF(Active3=TRUE,HLOOKUP(Mammal_Chronic[[#This Row],[Crop]],Input_Scenario,13,FALSE)*HLOOKUP(Mammal_Chronic[[#This Row],[Crop]],Input_Scenario,8,FALSE)*Mammal_Chronic[[#This Row],[SVm]],""),"")</f>
        <v/>
      </c>
      <c r="N55" s="370" t="str">
        <f ca="1">IF($B$3&lt;&gt;"Passive",IFERROR(IF(ISNUMBER(INDEX(Active[M_NOAEL], 3)),
                          INDEX(Active[M_NOAEL], 3)/M55,""),""),"")</f>
        <v/>
      </c>
      <c r="O55" s="370" t="str">
        <f>IFERROR(IF(Active4=TRUE,HLOOKUP(Mammal_Chronic[[#This Row],[Crop]],Input_Scenario,14,FALSE)*HLOOKUP(Mammal_Chronic[[#This Row],[Crop]],Input_Scenario,8,FALSE)*Mammal_Chronic[[#This Row],[SVm]],""),"")</f>
        <v/>
      </c>
      <c r="P55" s="370" t="str">
        <f ca="1">IF($B$3&lt;&gt;"Passive",IFERROR(IF(ISNUMBER(INDEX(Active[M_NOAEL], 4)),
                          INDEX(Active[M_NOAEL], 4)/O55,""),""),"")</f>
        <v/>
      </c>
      <c r="Q55" s="370" t="str">
        <f>IFERROR(IF(Active5=TRUE,HLOOKUP(Mammal_Chronic[[#This Row],[Crop]],Input_Scenario,15,FALSE)*HLOOKUP(Mammal_Chronic[[#This Row],[Crop]],Input_Scenario,8,FALSE)*Mammal_Chronic[[#This Row],[SVm]],""),"")</f>
        <v/>
      </c>
      <c r="R55" s="370" t="str">
        <f ca="1">IF($B$3&lt;&gt;"Passive",IFERROR(IF(ISNUMBER(INDEX(Active[M_NOAEL], 5)),
                          INDEX(Active[M_NOAEL], 5)/Q55,""),""),"")</f>
        <v/>
      </c>
    </row>
    <row r="56" spans="1:18">
      <c r="A56" s="56"/>
      <c r="B56" s="314" t="str">
        <f t="shared" ca="1" si="0"/>
        <v>No input</v>
      </c>
      <c r="C56" s="72" t="s">
        <v>129</v>
      </c>
      <c r="D56" s="73" t="s">
        <v>251</v>
      </c>
      <c r="E56" s="73" t="s">
        <v>273</v>
      </c>
      <c r="F56" s="113">
        <v>72.3</v>
      </c>
      <c r="G56" s="203" t="str">
        <f ca="1">IF(AND(Mammal_Chronic[[#This Row],[Relevance]]="Input provided", Count&gt;=1),
       IF(M_ChronicScheme="C(mix)",
                 HLOOKUP(Mammal_Chronic[[#This Row],[Crop]], Input_Scenario,10,FALSE)*Mammal_Chronic[[#This Row],[SVm]]*HLOOKUP(Mammal_Chronic[[#This Row],[Crop]],Input_Scenario,8,FALSE),""),"")</f>
        <v/>
      </c>
      <c r="H56" s="368" t="str">
        <f t="shared" si="1"/>
        <v/>
      </c>
      <c r="I56" s="370" t="str">
        <f>IFERROR(IF(Active1=TRUE,HLOOKUP(Mammal_Chronic[[#This Row],[Crop]],Input_Scenario,11,FALSE)*HLOOKUP(Mammal_Chronic[[#This Row],[Crop]],Input_Scenario,8,FALSE)*Mammal_Chronic[[#This Row],[SVm]],""),"")</f>
        <v/>
      </c>
      <c r="J56" s="370" t="str">
        <f t="shared" ca="1" si="2"/>
        <v/>
      </c>
      <c r="K56" s="370" t="str">
        <f>IFERROR(IF(Active2=TRUE,HLOOKUP(Mammal_Chronic[[#This Row],[Crop]],Input_Scenario,12,FALSE)*HLOOKUP(Mammal_Chronic[[#This Row],[Crop]],Input_Scenario,8,FALSE)*Mammal_Chronic[[#This Row],[SVm]],""),"")</f>
        <v/>
      </c>
      <c r="L56" s="370" t="str">
        <f ca="1">IF($B$3&lt;&gt;"Passive",IFERROR(IF(ISNUMBER(INDEX(Active[M_NOAEL], 2)),
                          INDEX(Active[M_NOAEL], 2)/K56,""),""),"")</f>
        <v/>
      </c>
      <c r="M56" s="370" t="str">
        <f>IFERROR(IF(Active3=TRUE,HLOOKUP(Mammal_Chronic[[#This Row],[Crop]],Input_Scenario,13,FALSE)*HLOOKUP(Mammal_Chronic[[#This Row],[Crop]],Input_Scenario,8,FALSE)*Mammal_Chronic[[#This Row],[SVm]],""),"")</f>
        <v/>
      </c>
      <c r="N56" s="370" t="str">
        <f ca="1">IF($B$3&lt;&gt;"Passive",IFERROR(IF(ISNUMBER(INDEX(Active[M_NOAEL], 3)),
                          INDEX(Active[M_NOAEL], 3)/M56,""),""),"")</f>
        <v/>
      </c>
      <c r="O56" s="370" t="str">
        <f>IFERROR(IF(Active4=TRUE,HLOOKUP(Mammal_Chronic[[#This Row],[Crop]],Input_Scenario,14,FALSE)*HLOOKUP(Mammal_Chronic[[#This Row],[Crop]],Input_Scenario,8,FALSE)*Mammal_Chronic[[#This Row],[SVm]],""),"")</f>
        <v/>
      </c>
      <c r="P56" s="370" t="str">
        <f ca="1">IF($B$3&lt;&gt;"Passive",IFERROR(IF(ISNUMBER(INDEX(Active[M_NOAEL], 4)),
                          INDEX(Active[M_NOAEL], 4)/O56,""),""),"")</f>
        <v/>
      </c>
      <c r="Q56" s="370" t="str">
        <f>IFERROR(IF(Active5=TRUE,HLOOKUP(Mammal_Chronic[[#This Row],[Crop]],Input_Scenario,15,FALSE)*HLOOKUP(Mammal_Chronic[[#This Row],[Crop]],Input_Scenario,8,FALSE)*Mammal_Chronic[[#This Row],[SVm]],""),"")</f>
        <v/>
      </c>
      <c r="R56" s="370" t="str">
        <f ca="1">IF($B$3&lt;&gt;"Passive",IFERROR(IF(ISNUMBER(INDEX(Active[M_NOAEL], 5)),
                          INDEX(Active[M_NOAEL], 5)/Q56,""),""),"")</f>
        <v/>
      </c>
    </row>
    <row r="57" spans="1:18">
      <c r="A57" s="56"/>
      <c r="B57" s="314" t="str">
        <f t="shared" ca="1" si="0"/>
        <v>No input</v>
      </c>
      <c r="C57" s="72" t="s">
        <v>129</v>
      </c>
      <c r="D57" s="73" t="s">
        <v>134</v>
      </c>
      <c r="E57" s="73" t="s">
        <v>273</v>
      </c>
      <c r="F57" s="113">
        <v>18.100000000000001</v>
      </c>
      <c r="G57" s="203" t="str">
        <f ca="1">IF(AND(Mammal_Chronic[[#This Row],[Relevance]]="Input provided", Count&gt;=1),
       IF(M_ChronicScheme="C(mix)",
                 HLOOKUP(Mammal_Chronic[[#This Row],[Crop]], Input_Scenario,10,FALSE)*Mammal_Chronic[[#This Row],[SVm]]*HLOOKUP(Mammal_Chronic[[#This Row],[Crop]],Input_Scenario,8,FALSE),""),"")</f>
        <v/>
      </c>
      <c r="H57" s="368" t="str">
        <f t="shared" si="1"/>
        <v/>
      </c>
      <c r="I57" s="370" t="str">
        <f>IFERROR(IF(Active1=TRUE,HLOOKUP(Mammal_Chronic[[#This Row],[Crop]],Input_Scenario,11,FALSE)*HLOOKUP(Mammal_Chronic[[#This Row],[Crop]],Input_Scenario,8,FALSE)*Mammal_Chronic[[#This Row],[SVm]],""),"")</f>
        <v/>
      </c>
      <c r="J57" s="370" t="str">
        <f t="shared" ca="1" si="2"/>
        <v/>
      </c>
      <c r="K57" s="370" t="str">
        <f>IFERROR(IF(Active2=TRUE,HLOOKUP(Mammal_Chronic[[#This Row],[Crop]],Input_Scenario,12,FALSE)*HLOOKUP(Mammal_Chronic[[#This Row],[Crop]],Input_Scenario,8,FALSE)*Mammal_Chronic[[#This Row],[SVm]],""),"")</f>
        <v/>
      </c>
      <c r="L57" s="370" t="str">
        <f ca="1">IF($B$3&lt;&gt;"Passive",IFERROR(IF(ISNUMBER(INDEX(Active[M_NOAEL], 2)),
                          INDEX(Active[M_NOAEL], 2)/K57,""),""),"")</f>
        <v/>
      </c>
      <c r="M57" s="370" t="str">
        <f>IFERROR(IF(Active3=TRUE,HLOOKUP(Mammal_Chronic[[#This Row],[Crop]],Input_Scenario,13,FALSE)*HLOOKUP(Mammal_Chronic[[#This Row],[Crop]],Input_Scenario,8,FALSE)*Mammal_Chronic[[#This Row],[SVm]],""),"")</f>
        <v/>
      </c>
      <c r="N57" s="370" t="str">
        <f ca="1">IF($B$3&lt;&gt;"Passive",IFERROR(IF(ISNUMBER(INDEX(Active[M_NOAEL], 3)),
                          INDEX(Active[M_NOAEL], 3)/M57,""),""),"")</f>
        <v/>
      </c>
      <c r="O57" s="370" t="str">
        <f>IFERROR(IF(Active4=TRUE,HLOOKUP(Mammal_Chronic[[#This Row],[Crop]],Input_Scenario,14,FALSE)*HLOOKUP(Mammal_Chronic[[#This Row],[Crop]],Input_Scenario,8,FALSE)*Mammal_Chronic[[#This Row],[SVm]],""),"")</f>
        <v/>
      </c>
      <c r="P57" s="370" t="str">
        <f ca="1">IF($B$3&lt;&gt;"Passive",IFERROR(IF(ISNUMBER(INDEX(Active[M_NOAEL], 4)),
                          INDEX(Active[M_NOAEL], 4)/O57,""),""),"")</f>
        <v/>
      </c>
      <c r="Q57" s="370" t="str">
        <f>IFERROR(IF(Active5=TRUE,HLOOKUP(Mammal_Chronic[[#This Row],[Crop]],Input_Scenario,15,FALSE)*HLOOKUP(Mammal_Chronic[[#This Row],[Crop]],Input_Scenario,8,FALSE)*Mammal_Chronic[[#This Row],[SVm]],""),"")</f>
        <v/>
      </c>
      <c r="R57" s="370" t="str">
        <f ca="1">IF($B$3&lt;&gt;"Passive",IFERROR(IF(ISNUMBER(INDEX(Active[M_NOAEL], 5)),
                          INDEX(Active[M_NOAEL], 5)/Q57,""),""),"")</f>
        <v/>
      </c>
    </row>
    <row r="58" spans="1:18">
      <c r="A58" s="56"/>
      <c r="B58" s="314" t="str">
        <f t="shared" ca="1" si="0"/>
        <v>No input</v>
      </c>
      <c r="C58" s="72" t="s">
        <v>129</v>
      </c>
      <c r="D58" s="73" t="s">
        <v>132</v>
      </c>
      <c r="E58" s="73" t="s">
        <v>271</v>
      </c>
      <c r="F58" s="113">
        <v>7.8</v>
      </c>
      <c r="G58" s="203" t="str">
        <f ca="1">IF(AND(Mammal_Chronic[[#This Row],[Relevance]]="Input provided", Count&gt;=1),
       IF(M_ChronicScheme="C(mix)",
                 HLOOKUP(Mammal_Chronic[[#This Row],[Crop]], Input_Scenario,10,FALSE)*Mammal_Chronic[[#This Row],[SVm]]*HLOOKUP(Mammal_Chronic[[#This Row],[Crop]],Input_Scenario,8,FALSE),""),"")</f>
        <v/>
      </c>
      <c r="H58" s="368" t="str">
        <f t="shared" si="1"/>
        <v/>
      </c>
      <c r="I58" s="370" t="str">
        <f>IFERROR(IF(Active1=TRUE,HLOOKUP(Mammal_Chronic[[#This Row],[Crop]],Input_Scenario,11,FALSE)*HLOOKUP(Mammal_Chronic[[#This Row],[Crop]],Input_Scenario,8,FALSE)*Mammal_Chronic[[#This Row],[SVm]],""),"")</f>
        <v/>
      </c>
      <c r="J58" s="370" t="str">
        <f t="shared" ca="1" si="2"/>
        <v/>
      </c>
      <c r="K58" s="370" t="str">
        <f>IFERROR(IF(Active2=TRUE,HLOOKUP(Mammal_Chronic[[#This Row],[Crop]],Input_Scenario,12,FALSE)*HLOOKUP(Mammal_Chronic[[#This Row],[Crop]],Input_Scenario,8,FALSE)*Mammal_Chronic[[#This Row],[SVm]],""),"")</f>
        <v/>
      </c>
      <c r="L58" s="370" t="str">
        <f ca="1">IF($B$3&lt;&gt;"Passive",IFERROR(IF(ISNUMBER(INDEX(Active[M_NOAEL], 2)),
                          INDEX(Active[M_NOAEL], 2)/K58,""),""),"")</f>
        <v/>
      </c>
      <c r="M58" s="370" t="str">
        <f>IFERROR(IF(Active3=TRUE,HLOOKUP(Mammal_Chronic[[#This Row],[Crop]],Input_Scenario,13,FALSE)*HLOOKUP(Mammal_Chronic[[#This Row],[Crop]],Input_Scenario,8,FALSE)*Mammal_Chronic[[#This Row],[SVm]],""),"")</f>
        <v/>
      </c>
      <c r="N58" s="370" t="str">
        <f ca="1">IF($B$3&lt;&gt;"Passive",IFERROR(IF(ISNUMBER(INDEX(Active[M_NOAEL], 3)),
                          INDEX(Active[M_NOAEL], 3)/M58,""),""),"")</f>
        <v/>
      </c>
      <c r="O58" s="370" t="str">
        <f>IFERROR(IF(Active4=TRUE,HLOOKUP(Mammal_Chronic[[#This Row],[Crop]],Input_Scenario,14,FALSE)*HLOOKUP(Mammal_Chronic[[#This Row],[Crop]],Input_Scenario,8,FALSE)*Mammal_Chronic[[#This Row],[SVm]],""),"")</f>
        <v/>
      </c>
      <c r="P58" s="370" t="str">
        <f ca="1">IF($B$3&lt;&gt;"Passive",IFERROR(IF(ISNUMBER(INDEX(Active[M_NOAEL], 4)),
                          INDEX(Active[M_NOAEL], 4)/O58,""),""),"")</f>
        <v/>
      </c>
      <c r="Q58" s="370" t="str">
        <f>IFERROR(IF(Active5=TRUE,HLOOKUP(Mammal_Chronic[[#This Row],[Crop]],Input_Scenario,15,FALSE)*HLOOKUP(Mammal_Chronic[[#This Row],[Crop]],Input_Scenario,8,FALSE)*Mammal_Chronic[[#This Row],[SVm]],""),"")</f>
        <v/>
      </c>
      <c r="R58" s="370" t="str">
        <f ca="1">IF($B$3&lt;&gt;"Passive",IFERROR(IF(ISNUMBER(INDEX(Active[M_NOAEL], 5)),
                          INDEX(Active[M_NOAEL], 5)/Q58,""),""),"")</f>
        <v/>
      </c>
    </row>
    <row r="59" spans="1:18">
      <c r="A59" s="56"/>
      <c r="B59" s="314" t="str">
        <f t="shared" ca="1" si="0"/>
        <v>No input</v>
      </c>
      <c r="C59" s="72" t="s">
        <v>129</v>
      </c>
      <c r="D59" s="73" t="s">
        <v>134</v>
      </c>
      <c r="E59" s="73" t="s">
        <v>271</v>
      </c>
      <c r="F59" s="113">
        <v>1.9</v>
      </c>
      <c r="G59" s="203" t="str">
        <f ca="1">IF(AND(Mammal_Chronic[[#This Row],[Relevance]]="Input provided", Count&gt;=1),
       IF(M_ChronicScheme="C(mix)",
                 HLOOKUP(Mammal_Chronic[[#This Row],[Crop]], Input_Scenario,10,FALSE)*Mammal_Chronic[[#This Row],[SVm]]*HLOOKUP(Mammal_Chronic[[#This Row],[Crop]],Input_Scenario,8,FALSE),""),"")</f>
        <v/>
      </c>
      <c r="H59" s="368" t="str">
        <f t="shared" si="1"/>
        <v/>
      </c>
      <c r="I59" s="370" t="str">
        <f>IFERROR(IF(Active1=TRUE,HLOOKUP(Mammal_Chronic[[#This Row],[Crop]],Input_Scenario,11,FALSE)*HLOOKUP(Mammal_Chronic[[#This Row],[Crop]],Input_Scenario,8,FALSE)*Mammal_Chronic[[#This Row],[SVm]],""),"")</f>
        <v/>
      </c>
      <c r="J59" s="370" t="str">
        <f t="shared" ca="1" si="2"/>
        <v/>
      </c>
      <c r="K59" s="370" t="str">
        <f>IFERROR(IF(Active2=TRUE,HLOOKUP(Mammal_Chronic[[#This Row],[Crop]],Input_Scenario,12,FALSE)*HLOOKUP(Mammal_Chronic[[#This Row],[Crop]],Input_Scenario,8,FALSE)*Mammal_Chronic[[#This Row],[SVm]],""),"")</f>
        <v/>
      </c>
      <c r="L59" s="370" t="str">
        <f ca="1">IF($B$3&lt;&gt;"Passive",IFERROR(IF(ISNUMBER(INDEX(Active[M_NOAEL], 2)),
                          INDEX(Active[M_NOAEL], 2)/K59,""),""),"")</f>
        <v/>
      </c>
      <c r="M59" s="370" t="str">
        <f>IFERROR(IF(Active3=TRUE,HLOOKUP(Mammal_Chronic[[#This Row],[Crop]],Input_Scenario,13,FALSE)*HLOOKUP(Mammal_Chronic[[#This Row],[Crop]],Input_Scenario,8,FALSE)*Mammal_Chronic[[#This Row],[SVm]],""),"")</f>
        <v/>
      </c>
      <c r="N59" s="370" t="str">
        <f ca="1">IF($B$3&lt;&gt;"Passive",IFERROR(IF(ISNUMBER(INDEX(Active[M_NOAEL], 3)),
                          INDEX(Active[M_NOAEL], 3)/M59,""),""),"")</f>
        <v/>
      </c>
      <c r="O59" s="370" t="str">
        <f>IFERROR(IF(Active4=TRUE,HLOOKUP(Mammal_Chronic[[#This Row],[Crop]],Input_Scenario,14,FALSE)*HLOOKUP(Mammal_Chronic[[#This Row],[Crop]],Input_Scenario,8,FALSE)*Mammal_Chronic[[#This Row],[SVm]],""),"")</f>
        <v/>
      </c>
      <c r="P59" s="370" t="str">
        <f ca="1">IF($B$3&lt;&gt;"Passive",IFERROR(IF(ISNUMBER(INDEX(Active[M_NOAEL], 4)),
                          INDEX(Active[M_NOAEL], 4)/O59,""),""),"")</f>
        <v/>
      </c>
      <c r="Q59" s="370" t="str">
        <f>IFERROR(IF(Active5=TRUE,HLOOKUP(Mammal_Chronic[[#This Row],[Crop]],Input_Scenario,15,FALSE)*HLOOKUP(Mammal_Chronic[[#This Row],[Crop]],Input_Scenario,8,FALSE)*Mammal_Chronic[[#This Row],[SVm]],""),"")</f>
        <v/>
      </c>
      <c r="R59" s="370" t="str">
        <f ca="1">IF($B$3&lt;&gt;"Passive",IFERROR(IF(ISNUMBER(INDEX(Active[M_NOAEL], 5)),
                          INDEX(Active[M_NOAEL], 5)/Q59,""),""),"")</f>
        <v/>
      </c>
    </row>
    <row r="60" spans="1:18">
      <c r="A60" s="56"/>
      <c r="B60" s="314" t="str">
        <f t="shared" ca="1" si="0"/>
        <v>No input</v>
      </c>
      <c r="C60" s="72" t="s">
        <v>135</v>
      </c>
      <c r="D60" s="73" t="s">
        <v>108</v>
      </c>
      <c r="E60" s="73" t="s">
        <v>272</v>
      </c>
      <c r="F60" s="113">
        <v>4.2</v>
      </c>
      <c r="G60" s="203" t="str">
        <f ca="1">IF(AND(Mammal_Chronic[[#This Row],[Relevance]]="Input provided", Count&gt;=1),
       IF(M_ChronicScheme="C(mix)",
                 HLOOKUP(Mammal_Chronic[[#This Row],[Crop]], Input_Scenario,10,FALSE)*Mammal_Chronic[[#This Row],[SVm]]*HLOOKUP(Mammal_Chronic[[#This Row],[Crop]],Input_Scenario,8,FALSE),""),"")</f>
        <v/>
      </c>
      <c r="H60" s="368" t="str">
        <f t="shared" si="1"/>
        <v/>
      </c>
      <c r="I60" s="370" t="str">
        <f>IFERROR(IF(Active1=TRUE,HLOOKUP(Mammal_Chronic[[#This Row],[Crop]],Input_Scenario,11,FALSE)*HLOOKUP(Mammal_Chronic[[#This Row],[Crop]],Input_Scenario,8,FALSE)*Mammal_Chronic[[#This Row],[SVm]],""),"")</f>
        <v/>
      </c>
      <c r="J60" s="370" t="str">
        <f t="shared" ca="1" si="2"/>
        <v/>
      </c>
      <c r="K60" s="370" t="str">
        <f>IFERROR(IF(Active2=TRUE,HLOOKUP(Mammal_Chronic[[#This Row],[Crop]],Input_Scenario,12,FALSE)*HLOOKUP(Mammal_Chronic[[#This Row],[Crop]],Input_Scenario,8,FALSE)*Mammal_Chronic[[#This Row],[SVm]],""),"")</f>
        <v/>
      </c>
      <c r="L60" s="370" t="str">
        <f ca="1">IF($B$3&lt;&gt;"Passive",IFERROR(IF(ISNUMBER(INDEX(Active[M_NOAEL], 2)),
                          INDEX(Active[M_NOAEL], 2)/K60,""),""),"")</f>
        <v/>
      </c>
      <c r="M60" s="370" t="str">
        <f>IFERROR(IF(Active3=TRUE,HLOOKUP(Mammal_Chronic[[#This Row],[Crop]],Input_Scenario,13,FALSE)*HLOOKUP(Mammal_Chronic[[#This Row],[Crop]],Input_Scenario,8,FALSE)*Mammal_Chronic[[#This Row],[SVm]],""),"")</f>
        <v/>
      </c>
      <c r="N60" s="370" t="str">
        <f ca="1">IF($B$3&lt;&gt;"Passive",IFERROR(IF(ISNUMBER(INDEX(Active[M_NOAEL], 3)),
                          INDEX(Active[M_NOAEL], 3)/M60,""),""),"")</f>
        <v/>
      </c>
      <c r="O60" s="370" t="str">
        <f>IFERROR(IF(Active4=TRUE,HLOOKUP(Mammal_Chronic[[#This Row],[Crop]],Input_Scenario,14,FALSE)*HLOOKUP(Mammal_Chronic[[#This Row],[Crop]],Input_Scenario,8,FALSE)*Mammal_Chronic[[#This Row],[SVm]],""),"")</f>
        <v/>
      </c>
      <c r="P60" s="370" t="str">
        <f ca="1">IF($B$3&lt;&gt;"Passive",IFERROR(IF(ISNUMBER(INDEX(Active[M_NOAEL], 4)),
                          INDEX(Active[M_NOAEL], 4)/O60,""),""),"")</f>
        <v/>
      </c>
      <c r="Q60" s="370" t="str">
        <f>IFERROR(IF(Active5=TRUE,HLOOKUP(Mammal_Chronic[[#This Row],[Crop]],Input_Scenario,15,FALSE)*HLOOKUP(Mammal_Chronic[[#This Row],[Crop]],Input_Scenario,8,FALSE)*Mammal_Chronic[[#This Row],[SVm]],""),"")</f>
        <v/>
      </c>
      <c r="R60" s="370" t="str">
        <f ca="1">IF($B$3&lt;&gt;"Passive",IFERROR(IF(ISNUMBER(INDEX(Active[M_NOAEL], 5)),
                          INDEX(Active[M_NOAEL], 5)/Q60,""),""),"")</f>
        <v/>
      </c>
    </row>
    <row r="61" spans="1:18">
      <c r="A61" s="56"/>
      <c r="B61" s="314" t="str">
        <f t="shared" ca="1" si="0"/>
        <v>No input</v>
      </c>
      <c r="C61" s="72" t="s">
        <v>135</v>
      </c>
      <c r="D61" s="73" t="s">
        <v>132</v>
      </c>
      <c r="E61" s="73" t="s">
        <v>273</v>
      </c>
      <c r="F61" s="113">
        <v>72.3</v>
      </c>
      <c r="G61" s="203" t="str">
        <f ca="1">IF(AND(Mammal_Chronic[[#This Row],[Relevance]]="Input provided", Count&gt;=1),
       IF(M_ChronicScheme="C(mix)",
                 HLOOKUP(Mammal_Chronic[[#This Row],[Crop]], Input_Scenario,10,FALSE)*Mammal_Chronic[[#This Row],[SVm]]*HLOOKUP(Mammal_Chronic[[#This Row],[Crop]],Input_Scenario,8,FALSE),""),"")</f>
        <v/>
      </c>
      <c r="H61" s="368" t="str">
        <f t="shared" si="1"/>
        <v/>
      </c>
      <c r="I61" s="370" t="str">
        <f>IFERROR(IF(Active1=TRUE,HLOOKUP(Mammal_Chronic[[#This Row],[Crop]],Input_Scenario,11,FALSE)*HLOOKUP(Mammal_Chronic[[#This Row],[Crop]],Input_Scenario,8,FALSE)*Mammal_Chronic[[#This Row],[SVm]],""),"")</f>
        <v/>
      </c>
      <c r="J61" s="370" t="str">
        <f t="shared" ca="1" si="2"/>
        <v/>
      </c>
      <c r="K61" s="370" t="str">
        <f>IFERROR(IF(Active2=TRUE,HLOOKUP(Mammal_Chronic[[#This Row],[Crop]],Input_Scenario,12,FALSE)*HLOOKUP(Mammal_Chronic[[#This Row],[Crop]],Input_Scenario,8,FALSE)*Mammal_Chronic[[#This Row],[SVm]],""),"")</f>
        <v/>
      </c>
      <c r="L61" s="370" t="str">
        <f ca="1">IF($B$3&lt;&gt;"Passive",IFERROR(IF(ISNUMBER(INDEX(Active[M_NOAEL], 2)),
                          INDEX(Active[M_NOAEL], 2)/K61,""),""),"")</f>
        <v/>
      </c>
      <c r="M61" s="370" t="str">
        <f>IFERROR(IF(Active3=TRUE,HLOOKUP(Mammal_Chronic[[#This Row],[Crop]],Input_Scenario,13,FALSE)*HLOOKUP(Mammal_Chronic[[#This Row],[Crop]],Input_Scenario,8,FALSE)*Mammal_Chronic[[#This Row],[SVm]],""),"")</f>
        <v/>
      </c>
      <c r="N61" s="370" t="str">
        <f ca="1">IF($B$3&lt;&gt;"Passive",IFERROR(IF(ISNUMBER(INDEX(Active[M_NOAEL], 3)),
                          INDEX(Active[M_NOAEL], 3)/M61,""),""),"")</f>
        <v/>
      </c>
      <c r="O61" s="370" t="str">
        <f>IFERROR(IF(Active4=TRUE,HLOOKUP(Mammal_Chronic[[#This Row],[Crop]],Input_Scenario,14,FALSE)*HLOOKUP(Mammal_Chronic[[#This Row],[Crop]],Input_Scenario,8,FALSE)*Mammal_Chronic[[#This Row],[SVm]],""),"")</f>
        <v/>
      </c>
      <c r="P61" s="370" t="str">
        <f ca="1">IF($B$3&lt;&gt;"Passive",IFERROR(IF(ISNUMBER(INDEX(Active[M_NOAEL], 4)),
                          INDEX(Active[M_NOAEL], 4)/O61,""),""),"")</f>
        <v/>
      </c>
      <c r="Q61" s="370" t="str">
        <f>IFERROR(IF(Active5=TRUE,HLOOKUP(Mammal_Chronic[[#This Row],[Crop]],Input_Scenario,15,FALSE)*HLOOKUP(Mammal_Chronic[[#This Row],[Crop]],Input_Scenario,8,FALSE)*Mammal_Chronic[[#This Row],[SVm]],""),"")</f>
        <v/>
      </c>
      <c r="R61" s="370" t="str">
        <f ca="1">IF($B$3&lt;&gt;"Passive",IFERROR(IF(ISNUMBER(INDEX(Active[M_NOAEL], 5)),
                          INDEX(Active[M_NOAEL], 5)/Q61,""),""),"")</f>
        <v/>
      </c>
    </row>
    <row r="62" spans="1:18">
      <c r="A62" s="56"/>
      <c r="B62" s="314" t="str">
        <f t="shared" ca="1" si="0"/>
        <v>No input</v>
      </c>
      <c r="C62" s="72" t="s">
        <v>135</v>
      </c>
      <c r="D62" s="73" t="s">
        <v>111</v>
      </c>
      <c r="E62" s="73" t="s">
        <v>272</v>
      </c>
      <c r="F62" s="113">
        <v>1.9</v>
      </c>
      <c r="G62" s="203" t="str">
        <f ca="1">IF(AND(Mammal_Chronic[[#This Row],[Relevance]]="Input provided", Count&gt;=1),
       IF(M_ChronicScheme="C(mix)",
                 HLOOKUP(Mammal_Chronic[[#This Row],[Crop]], Input_Scenario,10,FALSE)*Mammal_Chronic[[#This Row],[SVm]]*HLOOKUP(Mammal_Chronic[[#This Row],[Crop]],Input_Scenario,8,FALSE),""),"")</f>
        <v/>
      </c>
      <c r="H62" s="368" t="str">
        <f t="shared" si="1"/>
        <v/>
      </c>
      <c r="I62" s="370" t="str">
        <f>IFERROR(IF(Active1=TRUE,HLOOKUP(Mammal_Chronic[[#This Row],[Crop]],Input_Scenario,11,FALSE)*HLOOKUP(Mammal_Chronic[[#This Row],[Crop]],Input_Scenario,8,FALSE)*Mammal_Chronic[[#This Row],[SVm]],""),"")</f>
        <v/>
      </c>
      <c r="J62" s="370" t="str">
        <f t="shared" ca="1" si="2"/>
        <v/>
      </c>
      <c r="K62" s="370" t="str">
        <f>IFERROR(IF(Active2=TRUE,HLOOKUP(Mammal_Chronic[[#This Row],[Crop]],Input_Scenario,12,FALSE)*HLOOKUP(Mammal_Chronic[[#This Row],[Crop]],Input_Scenario,8,FALSE)*Mammal_Chronic[[#This Row],[SVm]],""),"")</f>
        <v/>
      </c>
      <c r="L62" s="370" t="str">
        <f ca="1">IF($B$3&lt;&gt;"Passive",IFERROR(IF(ISNUMBER(INDEX(Active[M_NOAEL], 2)),
                          INDEX(Active[M_NOAEL], 2)/K62,""),""),"")</f>
        <v/>
      </c>
      <c r="M62" s="370" t="str">
        <f>IFERROR(IF(Active3=TRUE,HLOOKUP(Mammal_Chronic[[#This Row],[Crop]],Input_Scenario,13,FALSE)*HLOOKUP(Mammal_Chronic[[#This Row],[Crop]],Input_Scenario,8,FALSE)*Mammal_Chronic[[#This Row],[SVm]],""),"")</f>
        <v/>
      </c>
      <c r="N62" s="370" t="str">
        <f ca="1">IF($B$3&lt;&gt;"Passive",IFERROR(IF(ISNUMBER(INDEX(Active[M_NOAEL], 3)),
                          INDEX(Active[M_NOAEL], 3)/M62,""),""),"")</f>
        <v/>
      </c>
      <c r="O62" s="370" t="str">
        <f>IFERROR(IF(Active4=TRUE,HLOOKUP(Mammal_Chronic[[#This Row],[Crop]],Input_Scenario,14,FALSE)*HLOOKUP(Mammal_Chronic[[#This Row],[Crop]],Input_Scenario,8,FALSE)*Mammal_Chronic[[#This Row],[SVm]],""),"")</f>
        <v/>
      </c>
      <c r="P62" s="370" t="str">
        <f ca="1">IF($B$3&lt;&gt;"Passive",IFERROR(IF(ISNUMBER(INDEX(Active[M_NOAEL], 4)),
                          INDEX(Active[M_NOAEL], 4)/O62,""),""),"")</f>
        <v/>
      </c>
      <c r="Q62" s="370" t="str">
        <f>IFERROR(IF(Active5=TRUE,HLOOKUP(Mammal_Chronic[[#This Row],[Crop]],Input_Scenario,15,FALSE)*HLOOKUP(Mammal_Chronic[[#This Row],[Crop]],Input_Scenario,8,FALSE)*Mammal_Chronic[[#This Row],[SVm]],""),"")</f>
        <v/>
      </c>
      <c r="R62" s="370" t="str">
        <f ca="1">IF($B$3&lt;&gt;"Passive",IFERROR(IF(ISNUMBER(INDEX(Active[M_NOAEL], 5)),
                          INDEX(Active[M_NOAEL], 5)/Q62,""),""),"")</f>
        <v/>
      </c>
    </row>
    <row r="63" spans="1:18">
      <c r="A63" s="56"/>
      <c r="B63" s="314" t="str">
        <f t="shared" ca="1" si="0"/>
        <v>No input</v>
      </c>
      <c r="C63" s="72" t="s">
        <v>135</v>
      </c>
      <c r="D63" s="73" t="s">
        <v>132</v>
      </c>
      <c r="E63" s="73" t="s">
        <v>271</v>
      </c>
      <c r="F63" s="113">
        <v>7.8</v>
      </c>
      <c r="G63" s="203" t="str">
        <f ca="1">IF(AND(Mammal_Chronic[[#This Row],[Relevance]]="Input provided", Count&gt;=1),
       IF(M_ChronicScheme="C(mix)",
                 HLOOKUP(Mammal_Chronic[[#This Row],[Crop]], Input_Scenario,10,FALSE)*Mammal_Chronic[[#This Row],[SVm]]*HLOOKUP(Mammal_Chronic[[#This Row],[Crop]],Input_Scenario,8,FALSE),""),"")</f>
        <v/>
      </c>
      <c r="H63" s="368" t="str">
        <f t="shared" si="1"/>
        <v/>
      </c>
      <c r="I63" s="370" t="str">
        <f>IFERROR(IF(Active1=TRUE,HLOOKUP(Mammal_Chronic[[#This Row],[Crop]],Input_Scenario,11,FALSE)*HLOOKUP(Mammal_Chronic[[#This Row],[Crop]],Input_Scenario,8,FALSE)*Mammal_Chronic[[#This Row],[SVm]],""),"")</f>
        <v/>
      </c>
      <c r="J63" s="370" t="str">
        <f t="shared" ca="1" si="2"/>
        <v/>
      </c>
      <c r="K63" s="370" t="str">
        <f>IFERROR(IF(Active2=TRUE,HLOOKUP(Mammal_Chronic[[#This Row],[Crop]],Input_Scenario,12,FALSE)*HLOOKUP(Mammal_Chronic[[#This Row],[Crop]],Input_Scenario,8,FALSE)*Mammal_Chronic[[#This Row],[SVm]],""),"")</f>
        <v/>
      </c>
      <c r="L63" s="370" t="str">
        <f ca="1">IF($B$3&lt;&gt;"Passive",IFERROR(IF(ISNUMBER(INDEX(Active[M_NOAEL], 2)),
                          INDEX(Active[M_NOAEL], 2)/K63,""),""),"")</f>
        <v/>
      </c>
      <c r="M63" s="370" t="str">
        <f>IFERROR(IF(Active3=TRUE,HLOOKUP(Mammal_Chronic[[#This Row],[Crop]],Input_Scenario,13,FALSE)*HLOOKUP(Mammal_Chronic[[#This Row],[Crop]],Input_Scenario,8,FALSE)*Mammal_Chronic[[#This Row],[SVm]],""),"")</f>
        <v/>
      </c>
      <c r="N63" s="370" t="str">
        <f ca="1">IF($B$3&lt;&gt;"Passive",IFERROR(IF(ISNUMBER(INDEX(Active[M_NOAEL], 3)),
                          INDEX(Active[M_NOAEL], 3)/M63,""),""),"")</f>
        <v/>
      </c>
      <c r="O63" s="370" t="str">
        <f>IFERROR(IF(Active4=TRUE,HLOOKUP(Mammal_Chronic[[#This Row],[Crop]],Input_Scenario,14,FALSE)*HLOOKUP(Mammal_Chronic[[#This Row],[Crop]],Input_Scenario,8,FALSE)*Mammal_Chronic[[#This Row],[SVm]],""),"")</f>
        <v/>
      </c>
      <c r="P63" s="370" t="str">
        <f ca="1">IF($B$3&lt;&gt;"Passive",IFERROR(IF(ISNUMBER(INDEX(Active[M_NOAEL], 4)),
                          INDEX(Active[M_NOAEL], 4)/O63,""),""),"")</f>
        <v/>
      </c>
      <c r="Q63" s="370" t="str">
        <f>IFERROR(IF(Active5=TRUE,HLOOKUP(Mammal_Chronic[[#This Row],[Crop]],Input_Scenario,15,FALSE)*HLOOKUP(Mammal_Chronic[[#This Row],[Crop]],Input_Scenario,8,FALSE)*Mammal_Chronic[[#This Row],[SVm]],""),"")</f>
        <v/>
      </c>
      <c r="R63" s="370" t="str">
        <f ca="1">IF($B$3&lt;&gt;"Passive",IFERROR(IF(ISNUMBER(INDEX(Active[M_NOAEL], 5)),
                          INDEX(Active[M_NOAEL], 5)/Q63,""),""),"")</f>
        <v/>
      </c>
    </row>
    <row r="64" spans="1:18">
      <c r="A64" s="56"/>
      <c r="B64" s="314" t="str">
        <f t="shared" ca="1" si="0"/>
        <v>No input</v>
      </c>
      <c r="C64" s="72" t="s">
        <v>135</v>
      </c>
      <c r="D64" s="73" t="s">
        <v>134</v>
      </c>
      <c r="E64" s="73" t="s">
        <v>273</v>
      </c>
      <c r="F64" s="113">
        <v>21.7</v>
      </c>
      <c r="G64" s="203" t="str">
        <f ca="1">IF(AND(Mammal_Chronic[[#This Row],[Relevance]]="Input provided", Count&gt;=1),
       IF(M_ChronicScheme="C(mix)",
                 HLOOKUP(Mammal_Chronic[[#This Row],[Crop]], Input_Scenario,10,FALSE)*Mammal_Chronic[[#This Row],[SVm]]*HLOOKUP(Mammal_Chronic[[#This Row],[Crop]],Input_Scenario,8,FALSE),""),"")</f>
        <v/>
      </c>
      <c r="H64" s="368" t="str">
        <f t="shared" si="1"/>
        <v/>
      </c>
      <c r="I64" s="370" t="str">
        <f>IFERROR(IF(Active1=TRUE,HLOOKUP(Mammal_Chronic[[#This Row],[Crop]],Input_Scenario,11,FALSE)*HLOOKUP(Mammal_Chronic[[#This Row],[Crop]],Input_Scenario,8,FALSE)*Mammal_Chronic[[#This Row],[SVm]],""),"")</f>
        <v/>
      </c>
      <c r="J64" s="370" t="str">
        <f t="shared" ca="1" si="2"/>
        <v/>
      </c>
      <c r="K64" s="370" t="str">
        <f>IFERROR(IF(Active2=TRUE,HLOOKUP(Mammal_Chronic[[#This Row],[Crop]],Input_Scenario,12,FALSE)*HLOOKUP(Mammal_Chronic[[#This Row],[Crop]],Input_Scenario,8,FALSE)*Mammal_Chronic[[#This Row],[SVm]],""),"")</f>
        <v/>
      </c>
      <c r="L64" s="370" t="str">
        <f ca="1">IF($B$3&lt;&gt;"Passive",IFERROR(IF(ISNUMBER(INDEX(Active[M_NOAEL], 2)),
                          INDEX(Active[M_NOAEL], 2)/K64,""),""),"")</f>
        <v/>
      </c>
      <c r="M64" s="370" t="str">
        <f>IFERROR(IF(Active3=TRUE,HLOOKUP(Mammal_Chronic[[#This Row],[Crop]],Input_Scenario,13,FALSE)*HLOOKUP(Mammal_Chronic[[#This Row],[Crop]],Input_Scenario,8,FALSE)*Mammal_Chronic[[#This Row],[SVm]],""),"")</f>
        <v/>
      </c>
      <c r="N64" s="370" t="str">
        <f ca="1">IF($B$3&lt;&gt;"Passive",IFERROR(IF(ISNUMBER(INDEX(Active[M_NOAEL], 3)),
                          INDEX(Active[M_NOAEL], 3)/M64,""),""),"")</f>
        <v/>
      </c>
      <c r="O64" s="370" t="str">
        <f>IFERROR(IF(Active4=TRUE,HLOOKUP(Mammal_Chronic[[#This Row],[Crop]],Input_Scenario,14,FALSE)*HLOOKUP(Mammal_Chronic[[#This Row],[Crop]],Input_Scenario,8,FALSE)*Mammal_Chronic[[#This Row],[SVm]],""),"")</f>
        <v/>
      </c>
      <c r="P64" s="370" t="str">
        <f ca="1">IF($B$3&lt;&gt;"Passive",IFERROR(IF(ISNUMBER(INDEX(Active[M_NOAEL], 4)),
                          INDEX(Active[M_NOAEL], 4)/O64,""),""),"")</f>
        <v/>
      </c>
      <c r="Q64" s="370" t="str">
        <f>IFERROR(IF(Active5=TRUE,HLOOKUP(Mammal_Chronic[[#This Row],[Crop]],Input_Scenario,15,FALSE)*HLOOKUP(Mammal_Chronic[[#This Row],[Crop]],Input_Scenario,8,FALSE)*Mammal_Chronic[[#This Row],[SVm]],""),"")</f>
        <v/>
      </c>
      <c r="R64" s="370" t="str">
        <f ca="1">IF($B$3&lt;&gt;"Passive",IFERROR(IF(ISNUMBER(INDEX(Active[M_NOAEL], 5)),
                          INDEX(Active[M_NOAEL], 5)/Q64,""),""),"")</f>
        <v/>
      </c>
    </row>
    <row r="65" spans="1:18">
      <c r="A65" s="56"/>
      <c r="B65" s="314" t="str">
        <f t="shared" ca="1" si="0"/>
        <v>No input</v>
      </c>
      <c r="C65" s="72" t="s">
        <v>135</v>
      </c>
      <c r="D65" s="73" t="s">
        <v>134</v>
      </c>
      <c r="E65" s="73" t="s">
        <v>271</v>
      </c>
      <c r="F65" s="113">
        <v>2.2999999999999998</v>
      </c>
      <c r="G65" s="203" t="str">
        <f ca="1">IF(AND(Mammal_Chronic[[#This Row],[Relevance]]="Input provided", Count&gt;=1),
       IF(M_ChronicScheme="C(mix)",
                 HLOOKUP(Mammal_Chronic[[#This Row],[Crop]], Input_Scenario,10,FALSE)*Mammal_Chronic[[#This Row],[SVm]]*HLOOKUP(Mammal_Chronic[[#This Row],[Crop]],Input_Scenario,8,FALSE),""),"")</f>
        <v/>
      </c>
      <c r="H65" s="368" t="str">
        <f t="shared" si="1"/>
        <v/>
      </c>
      <c r="I65" s="370" t="str">
        <f>IFERROR(IF(Active1=TRUE,HLOOKUP(Mammal_Chronic[[#This Row],[Crop]],Input_Scenario,11,FALSE)*HLOOKUP(Mammal_Chronic[[#This Row],[Crop]],Input_Scenario,8,FALSE)*Mammal_Chronic[[#This Row],[SVm]],""),"")</f>
        <v/>
      </c>
      <c r="J65" s="370" t="str">
        <f t="shared" ca="1" si="2"/>
        <v/>
      </c>
      <c r="K65" s="370" t="str">
        <f>IFERROR(IF(Active2=TRUE,HLOOKUP(Mammal_Chronic[[#This Row],[Crop]],Input_Scenario,12,FALSE)*HLOOKUP(Mammal_Chronic[[#This Row],[Crop]],Input_Scenario,8,FALSE)*Mammal_Chronic[[#This Row],[SVm]],""),"")</f>
        <v/>
      </c>
      <c r="L65" s="370" t="str">
        <f ca="1">IF($B$3&lt;&gt;"Passive",IFERROR(IF(ISNUMBER(INDEX(Active[M_NOAEL], 2)),
                          INDEX(Active[M_NOAEL], 2)/K65,""),""),"")</f>
        <v/>
      </c>
      <c r="M65" s="370" t="str">
        <f>IFERROR(IF(Active3=TRUE,HLOOKUP(Mammal_Chronic[[#This Row],[Crop]],Input_Scenario,13,FALSE)*HLOOKUP(Mammal_Chronic[[#This Row],[Crop]],Input_Scenario,8,FALSE)*Mammal_Chronic[[#This Row],[SVm]],""),"")</f>
        <v/>
      </c>
      <c r="N65" s="370" t="str">
        <f ca="1">IF($B$3&lt;&gt;"Passive",IFERROR(IF(ISNUMBER(INDEX(Active[M_NOAEL], 3)),
                          INDEX(Active[M_NOAEL], 3)/M65,""),""),"")</f>
        <v/>
      </c>
      <c r="O65" s="370" t="str">
        <f>IFERROR(IF(Active4=TRUE,HLOOKUP(Mammal_Chronic[[#This Row],[Crop]],Input_Scenario,14,FALSE)*HLOOKUP(Mammal_Chronic[[#This Row],[Crop]],Input_Scenario,8,FALSE)*Mammal_Chronic[[#This Row],[SVm]],""),"")</f>
        <v/>
      </c>
      <c r="P65" s="370" t="str">
        <f ca="1">IF($B$3&lt;&gt;"Passive",IFERROR(IF(ISNUMBER(INDEX(Active[M_NOAEL], 4)),
                          INDEX(Active[M_NOAEL], 4)/O65,""),""),"")</f>
        <v/>
      </c>
      <c r="Q65" s="370" t="str">
        <f>IFERROR(IF(Active5=TRUE,HLOOKUP(Mammal_Chronic[[#This Row],[Crop]],Input_Scenario,15,FALSE)*HLOOKUP(Mammal_Chronic[[#This Row],[Crop]],Input_Scenario,8,FALSE)*Mammal_Chronic[[#This Row],[SVm]],""),"")</f>
        <v/>
      </c>
      <c r="R65" s="370" t="str">
        <f ca="1">IF($B$3&lt;&gt;"Passive",IFERROR(IF(ISNUMBER(INDEX(Active[M_NOAEL], 5)),
                          INDEX(Active[M_NOAEL], 5)/Q65,""),""),"")</f>
        <v/>
      </c>
    </row>
    <row r="66" spans="1:18">
      <c r="A66" s="56"/>
      <c r="B66" s="314" t="str">
        <f t="shared" ca="1" si="0"/>
        <v>No input</v>
      </c>
      <c r="C66" s="72" t="s">
        <v>135</v>
      </c>
      <c r="D66" s="73" t="s">
        <v>252</v>
      </c>
      <c r="E66" s="73" t="s">
        <v>276</v>
      </c>
      <c r="F66" s="113">
        <v>25.2</v>
      </c>
      <c r="G66" s="203" t="str">
        <f ca="1">IF(AND(Mammal_Chronic[[#This Row],[Relevance]]="Input provided", Count&gt;=1),
       IF(M_ChronicScheme="C(mix)",
                 HLOOKUP(Mammal_Chronic[[#This Row],[Crop]], Input_Scenario,10,FALSE)*Mammal_Chronic[[#This Row],[SVm]]*HLOOKUP(Mammal_Chronic[[#This Row],[Crop]],Input_Scenario,8,FALSE),""),"")</f>
        <v/>
      </c>
      <c r="H66" s="368" t="str">
        <f t="shared" si="1"/>
        <v/>
      </c>
      <c r="I66" s="370" t="str">
        <f>IFERROR(IF(Active1=TRUE,HLOOKUP(Mammal_Chronic[[#This Row],[Crop]],Input_Scenario,11,FALSE)*HLOOKUP(Mammal_Chronic[[#This Row],[Crop]],Input_Scenario,8,FALSE)*Mammal_Chronic[[#This Row],[SVm]],""),"")</f>
        <v/>
      </c>
      <c r="J66" s="370" t="str">
        <f t="shared" ca="1" si="2"/>
        <v/>
      </c>
      <c r="K66" s="370" t="str">
        <f>IFERROR(IF(Active2=TRUE,HLOOKUP(Mammal_Chronic[[#This Row],[Crop]],Input_Scenario,12,FALSE)*HLOOKUP(Mammal_Chronic[[#This Row],[Crop]],Input_Scenario,8,FALSE)*Mammal_Chronic[[#This Row],[SVm]],""),"")</f>
        <v/>
      </c>
      <c r="L66" s="370" t="str">
        <f ca="1">IF($B$3&lt;&gt;"Passive",IFERROR(IF(ISNUMBER(INDEX(Active[M_NOAEL], 2)),
                          INDEX(Active[M_NOAEL], 2)/K66,""),""),"")</f>
        <v/>
      </c>
      <c r="M66" s="370" t="str">
        <f>IFERROR(IF(Active3=TRUE,HLOOKUP(Mammal_Chronic[[#This Row],[Crop]],Input_Scenario,13,FALSE)*HLOOKUP(Mammal_Chronic[[#This Row],[Crop]],Input_Scenario,8,FALSE)*Mammal_Chronic[[#This Row],[SVm]],""),"")</f>
        <v/>
      </c>
      <c r="N66" s="370" t="str">
        <f ca="1">IF($B$3&lt;&gt;"Passive",IFERROR(IF(ISNUMBER(INDEX(Active[M_NOAEL], 3)),
                          INDEX(Active[M_NOAEL], 3)/M66,""),""),"")</f>
        <v/>
      </c>
      <c r="O66" s="370" t="str">
        <f>IFERROR(IF(Active4=TRUE,HLOOKUP(Mammal_Chronic[[#This Row],[Crop]],Input_Scenario,14,FALSE)*HLOOKUP(Mammal_Chronic[[#This Row],[Crop]],Input_Scenario,8,FALSE)*Mammal_Chronic[[#This Row],[SVm]],""),"")</f>
        <v/>
      </c>
      <c r="P66" s="370" t="str">
        <f ca="1">IF($B$3&lt;&gt;"Passive",IFERROR(IF(ISNUMBER(INDEX(Active[M_NOAEL], 4)),
                          INDEX(Active[M_NOAEL], 4)/O66,""),""),"")</f>
        <v/>
      </c>
      <c r="Q66" s="370" t="str">
        <f>IFERROR(IF(Active5=TRUE,HLOOKUP(Mammal_Chronic[[#This Row],[Crop]],Input_Scenario,15,FALSE)*HLOOKUP(Mammal_Chronic[[#This Row],[Crop]],Input_Scenario,8,FALSE)*Mammal_Chronic[[#This Row],[SVm]],""),"")</f>
        <v/>
      </c>
      <c r="R66" s="370" t="str">
        <f ca="1">IF($B$3&lt;&gt;"Passive",IFERROR(IF(ISNUMBER(INDEX(Active[M_NOAEL], 5)),
                          INDEX(Active[M_NOAEL], 5)/Q66,""),""),"")</f>
        <v/>
      </c>
    </row>
    <row r="67" spans="1:18">
      <c r="A67" s="56"/>
      <c r="B67" s="314" t="str">
        <f t="shared" ca="1" si="0"/>
        <v>No input</v>
      </c>
      <c r="C67" s="72" t="s">
        <v>139</v>
      </c>
      <c r="D67" s="73" t="s">
        <v>254</v>
      </c>
      <c r="E67" s="73" t="s">
        <v>275</v>
      </c>
      <c r="F67" s="113">
        <v>17.3</v>
      </c>
      <c r="G67" s="203" t="str">
        <f ca="1">IF(AND(Mammal_Chronic[[#This Row],[Relevance]]="Input provided", Count&gt;=1),
       IF(M_ChronicScheme="C(mix)",
                 HLOOKUP(Mammal_Chronic[[#This Row],[Crop]], Input_Scenario,10,FALSE)*Mammal_Chronic[[#This Row],[SVm]]*HLOOKUP(Mammal_Chronic[[#This Row],[Crop]],Input_Scenario,8,FALSE),""),"")</f>
        <v/>
      </c>
      <c r="H67" s="368" t="str">
        <f t="shared" si="1"/>
        <v/>
      </c>
      <c r="I67" s="370" t="str">
        <f>IFERROR(IF(Active1=TRUE,HLOOKUP(Mammal_Chronic[[#This Row],[Crop]],Input_Scenario,11,FALSE)*HLOOKUP(Mammal_Chronic[[#This Row],[Crop]],Input_Scenario,8,FALSE)*Mammal_Chronic[[#This Row],[SVm]],""),"")</f>
        <v/>
      </c>
      <c r="J67" s="370" t="str">
        <f t="shared" ca="1" si="2"/>
        <v/>
      </c>
      <c r="K67" s="370" t="str">
        <f>IFERROR(IF(Active2=TRUE,HLOOKUP(Mammal_Chronic[[#This Row],[Crop]],Input_Scenario,12,FALSE)*HLOOKUP(Mammal_Chronic[[#This Row],[Crop]],Input_Scenario,8,FALSE)*Mammal_Chronic[[#This Row],[SVm]],""),"")</f>
        <v/>
      </c>
      <c r="L67" s="370" t="str">
        <f ca="1">IF($B$3&lt;&gt;"Passive",IFERROR(IF(ISNUMBER(INDEX(Active[M_NOAEL], 2)),
                          INDEX(Active[M_NOAEL], 2)/K67,""),""),"")</f>
        <v/>
      </c>
      <c r="M67" s="370" t="str">
        <f>IFERROR(IF(Active3=TRUE,HLOOKUP(Mammal_Chronic[[#This Row],[Crop]],Input_Scenario,13,FALSE)*HLOOKUP(Mammal_Chronic[[#This Row],[Crop]],Input_Scenario,8,FALSE)*Mammal_Chronic[[#This Row],[SVm]],""),"")</f>
        <v/>
      </c>
      <c r="N67" s="370" t="str">
        <f ca="1">IF($B$3&lt;&gt;"Passive",IFERROR(IF(ISNUMBER(INDEX(Active[M_NOAEL], 3)),
                          INDEX(Active[M_NOAEL], 3)/M67,""),""),"")</f>
        <v/>
      </c>
      <c r="O67" s="370" t="str">
        <f>IFERROR(IF(Active4=TRUE,HLOOKUP(Mammal_Chronic[[#This Row],[Crop]],Input_Scenario,14,FALSE)*HLOOKUP(Mammal_Chronic[[#This Row],[Crop]],Input_Scenario,8,FALSE)*Mammal_Chronic[[#This Row],[SVm]],""),"")</f>
        <v/>
      </c>
      <c r="P67" s="370" t="str">
        <f ca="1">IF($B$3&lt;&gt;"Passive",IFERROR(IF(ISNUMBER(INDEX(Active[M_NOAEL], 4)),
                          INDEX(Active[M_NOAEL], 4)/O67,""),""),"")</f>
        <v/>
      </c>
      <c r="Q67" s="370" t="str">
        <f>IFERROR(IF(Active5=TRUE,HLOOKUP(Mammal_Chronic[[#This Row],[Crop]],Input_Scenario,15,FALSE)*HLOOKUP(Mammal_Chronic[[#This Row],[Crop]],Input_Scenario,8,FALSE)*Mammal_Chronic[[#This Row],[SVm]],""),"")</f>
        <v/>
      </c>
      <c r="R67" s="370" t="str">
        <f ca="1">IF($B$3&lt;&gt;"Passive",IFERROR(IF(ISNUMBER(INDEX(Active[M_NOAEL], 5)),
                          INDEX(Active[M_NOAEL], 5)/Q67,""),""),"")</f>
        <v/>
      </c>
    </row>
    <row r="68" spans="1:18">
      <c r="A68" s="56"/>
      <c r="B68" s="314" t="str">
        <f t="shared" ca="1" si="0"/>
        <v>No input</v>
      </c>
      <c r="C68" s="72" t="s">
        <v>139</v>
      </c>
      <c r="D68" s="73" t="s">
        <v>256</v>
      </c>
      <c r="E68" s="73" t="s">
        <v>272</v>
      </c>
      <c r="F68" s="113">
        <v>1.9</v>
      </c>
      <c r="G68" s="203" t="str">
        <f ca="1">IF(AND(Mammal_Chronic[[#This Row],[Relevance]]="Input provided", Count&gt;=1),
       IF(M_ChronicScheme="C(mix)",
                 HLOOKUP(Mammal_Chronic[[#This Row],[Crop]], Input_Scenario,10,FALSE)*Mammal_Chronic[[#This Row],[SVm]]*HLOOKUP(Mammal_Chronic[[#This Row],[Crop]],Input_Scenario,8,FALSE),""),"")</f>
        <v/>
      </c>
      <c r="H68" s="368" t="str">
        <f t="shared" si="1"/>
        <v/>
      </c>
      <c r="I68" s="370" t="str">
        <f>IFERROR(IF(Active1=TRUE,HLOOKUP(Mammal_Chronic[[#This Row],[Crop]],Input_Scenario,11,FALSE)*HLOOKUP(Mammal_Chronic[[#This Row],[Crop]],Input_Scenario,8,FALSE)*Mammal_Chronic[[#This Row],[SVm]],""),"")</f>
        <v/>
      </c>
      <c r="J68" s="370" t="str">
        <f t="shared" ca="1" si="2"/>
        <v/>
      </c>
      <c r="K68" s="370" t="str">
        <f>IFERROR(IF(Active2=TRUE,HLOOKUP(Mammal_Chronic[[#This Row],[Crop]],Input_Scenario,12,FALSE)*HLOOKUP(Mammal_Chronic[[#This Row],[Crop]],Input_Scenario,8,FALSE)*Mammal_Chronic[[#This Row],[SVm]],""),"")</f>
        <v/>
      </c>
      <c r="L68" s="370" t="str">
        <f ca="1">IF($B$3&lt;&gt;"Passive",IFERROR(IF(ISNUMBER(INDEX(Active[M_NOAEL], 2)),
                          INDEX(Active[M_NOAEL], 2)/K68,""),""),"")</f>
        <v/>
      </c>
      <c r="M68" s="370" t="str">
        <f>IFERROR(IF(Active3=TRUE,HLOOKUP(Mammal_Chronic[[#This Row],[Crop]],Input_Scenario,13,FALSE)*HLOOKUP(Mammal_Chronic[[#This Row],[Crop]],Input_Scenario,8,FALSE)*Mammal_Chronic[[#This Row],[SVm]],""),"")</f>
        <v/>
      </c>
      <c r="N68" s="370" t="str">
        <f ca="1">IF($B$3&lt;&gt;"Passive",IFERROR(IF(ISNUMBER(INDEX(Active[M_NOAEL], 3)),
                          INDEX(Active[M_NOAEL], 3)/M68,""),""),"")</f>
        <v/>
      </c>
      <c r="O68" s="370" t="str">
        <f>IFERROR(IF(Active4=TRUE,HLOOKUP(Mammal_Chronic[[#This Row],[Crop]],Input_Scenario,14,FALSE)*HLOOKUP(Mammal_Chronic[[#This Row],[Crop]],Input_Scenario,8,FALSE)*Mammal_Chronic[[#This Row],[SVm]],""),"")</f>
        <v/>
      </c>
      <c r="P68" s="370" t="str">
        <f ca="1">IF($B$3&lt;&gt;"Passive",IFERROR(IF(ISNUMBER(INDEX(Active[M_NOAEL], 4)),
                          INDEX(Active[M_NOAEL], 4)/O68,""),""),"")</f>
        <v/>
      </c>
      <c r="Q68" s="370" t="str">
        <f>IFERROR(IF(Active5=TRUE,HLOOKUP(Mammal_Chronic[[#This Row],[Crop]],Input_Scenario,15,FALSE)*HLOOKUP(Mammal_Chronic[[#This Row],[Crop]],Input_Scenario,8,FALSE)*Mammal_Chronic[[#This Row],[SVm]],""),"")</f>
        <v/>
      </c>
      <c r="R68" s="370" t="str">
        <f ca="1">IF($B$3&lt;&gt;"Passive",IFERROR(IF(ISNUMBER(INDEX(Active[M_NOAEL], 5)),
                          INDEX(Active[M_NOAEL], 5)/Q68,""),""),"")</f>
        <v/>
      </c>
    </row>
    <row r="69" spans="1:18">
      <c r="A69" s="56"/>
      <c r="B69" s="314" t="str">
        <f t="shared" ca="1" si="0"/>
        <v>No input</v>
      </c>
      <c r="C69" s="72" t="s">
        <v>139</v>
      </c>
      <c r="D69" s="73" t="s">
        <v>254</v>
      </c>
      <c r="E69" s="73" t="s">
        <v>273</v>
      </c>
      <c r="F69" s="113">
        <v>72.3</v>
      </c>
      <c r="G69" s="203" t="str">
        <f ca="1">IF(AND(Mammal_Chronic[[#This Row],[Relevance]]="Input provided", Count&gt;=1),
       IF(M_ChronicScheme="C(mix)",
                 HLOOKUP(Mammal_Chronic[[#This Row],[Crop]], Input_Scenario,10,FALSE)*Mammal_Chronic[[#This Row],[SVm]]*HLOOKUP(Mammal_Chronic[[#This Row],[Crop]],Input_Scenario,8,FALSE),""),"")</f>
        <v/>
      </c>
      <c r="H69" s="368" t="str">
        <f t="shared" si="1"/>
        <v/>
      </c>
      <c r="I69" s="370" t="str">
        <f>IFERROR(IF(Active1=TRUE,HLOOKUP(Mammal_Chronic[[#This Row],[Crop]],Input_Scenario,11,FALSE)*HLOOKUP(Mammal_Chronic[[#This Row],[Crop]],Input_Scenario,8,FALSE)*Mammal_Chronic[[#This Row],[SVm]],""),"")</f>
        <v/>
      </c>
      <c r="J69" s="370" t="str">
        <f t="shared" ca="1" si="2"/>
        <v/>
      </c>
      <c r="K69" s="370" t="str">
        <f>IFERROR(IF(Active2=TRUE,HLOOKUP(Mammal_Chronic[[#This Row],[Crop]],Input_Scenario,12,FALSE)*HLOOKUP(Mammal_Chronic[[#This Row],[Crop]],Input_Scenario,8,FALSE)*Mammal_Chronic[[#This Row],[SVm]],""),"")</f>
        <v/>
      </c>
      <c r="L69" s="370" t="str">
        <f ca="1">IF($B$3&lt;&gt;"Passive",IFERROR(IF(ISNUMBER(INDEX(Active[M_NOAEL], 2)),
                          INDEX(Active[M_NOAEL], 2)/K69,""),""),"")</f>
        <v/>
      </c>
      <c r="M69" s="370" t="str">
        <f>IFERROR(IF(Active3=TRUE,HLOOKUP(Mammal_Chronic[[#This Row],[Crop]],Input_Scenario,13,FALSE)*HLOOKUP(Mammal_Chronic[[#This Row],[Crop]],Input_Scenario,8,FALSE)*Mammal_Chronic[[#This Row],[SVm]],""),"")</f>
        <v/>
      </c>
      <c r="N69" s="370" t="str">
        <f ca="1">IF($B$3&lt;&gt;"Passive",IFERROR(IF(ISNUMBER(INDEX(Active[M_NOAEL], 3)),
                          INDEX(Active[M_NOAEL], 3)/M69,""),""),"")</f>
        <v/>
      </c>
      <c r="O69" s="370" t="str">
        <f>IFERROR(IF(Active4=TRUE,HLOOKUP(Mammal_Chronic[[#This Row],[Crop]],Input_Scenario,14,FALSE)*HLOOKUP(Mammal_Chronic[[#This Row],[Crop]],Input_Scenario,8,FALSE)*Mammal_Chronic[[#This Row],[SVm]],""),"")</f>
        <v/>
      </c>
      <c r="P69" s="370" t="str">
        <f ca="1">IF($B$3&lt;&gt;"Passive",IFERROR(IF(ISNUMBER(INDEX(Active[M_NOAEL], 4)),
                          INDEX(Active[M_NOAEL], 4)/O69,""),""),"")</f>
        <v/>
      </c>
      <c r="Q69" s="370" t="str">
        <f>IFERROR(IF(Active5=TRUE,HLOOKUP(Mammal_Chronic[[#This Row],[Crop]],Input_Scenario,15,FALSE)*HLOOKUP(Mammal_Chronic[[#This Row],[Crop]],Input_Scenario,8,FALSE)*Mammal_Chronic[[#This Row],[SVm]],""),"")</f>
        <v/>
      </c>
      <c r="R69" s="370" t="str">
        <f ca="1">IF($B$3&lt;&gt;"Passive",IFERROR(IF(ISNUMBER(INDEX(Active[M_NOAEL], 5)),
                          INDEX(Active[M_NOAEL], 5)/Q69,""),""),"")</f>
        <v/>
      </c>
    </row>
    <row r="70" spans="1:18">
      <c r="A70" s="56"/>
      <c r="B70" s="314" t="str">
        <f t="shared" ca="1" si="0"/>
        <v>No input</v>
      </c>
      <c r="C70" s="72" t="s">
        <v>139</v>
      </c>
      <c r="D70" s="73" t="s">
        <v>142</v>
      </c>
      <c r="E70" s="73" t="s">
        <v>271</v>
      </c>
      <c r="F70" s="113">
        <v>6.6</v>
      </c>
      <c r="G70" s="203" t="str">
        <f ca="1">IF(AND(Mammal_Chronic[[#This Row],[Relevance]]="Input provided", Count&gt;=1),
       IF(M_ChronicScheme="C(mix)",
                 HLOOKUP(Mammal_Chronic[[#This Row],[Crop]], Input_Scenario,10,FALSE)*Mammal_Chronic[[#This Row],[SVm]]*HLOOKUP(Mammal_Chronic[[#This Row],[Crop]],Input_Scenario,8,FALSE),""),"")</f>
        <v/>
      </c>
      <c r="H70" s="368" t="str">
        <f t="shared" si="1"/>
        <v/>
      </c>
      <c r="I70" s="370" t="str">
        <f>IFERROR(IF(Active1=TRUE,HLOOKUP(Mammal_Chronic[[#This Row],[Crop]],Input_Scenario,11,FALSE)*HLOOKUP(Mammal_Chronic[[#This Row],[Crop]],Input_Scenario,8,FALSE)*Mammal_Chronic[[#This Row],[SVm]],""),"")</f>
        <v/>
      </c>
      <c r="J70" s="370" t="str">
        <f t="shared" ca="1" si="2"/>
        <v/>
      </c>
      <c r="K70" s="370" t="str">
        <f>IFERROR(IF(Active2=TRUE,HLOOKUP(Mammal_Chronic[[#This Row],[Crop]],Input_Scenario,12,FALSE)*HLOOKUP(Mammal_Chronic[[#This Row],[Crop]],Input_Scenario,8,FALSE)*Mammal_Chronic[[#This Row],[SVm]],""),"")</f>
        <v/>
      </c>
      <c r="L70" s="370" t="str">
        <f ca="1">IF($B$3&lt;&gt;"Passive",IFERROR(IF(ISNUMBER(INDEX(Active[M_NOAEL], 2)),
                          INDEX(Active[M_NOAEL], 2)/K70,""),""),"")</f>
        <v/>
      </c>
      <c r="M70" s="370" t="str">
        <f>IFERROR(IF(Active3=TRUE,HLOOKUP(Mammal_Chronic[[#This Row],[Crop]],Input_Scenario,13,FALSE)*HLOOKUP(Mammal_Chronic[[#This Row],[Crop]],Input_Scenario,8,FALSE)*Mammal_Chronic[[#This Row],[SVm]],""),"")</f>
        <v/>
      </c>
      <c r="N70" s="370" t="str">
        <f ca="1">IF($B$3&lt;&gt;"Passive",IFERROR(IF(ISNUMBER(INDEX(Active[M_NOAEL], 3)),
                          INDEX(Active[M_NOAEL], 3)/M70,""),""),"")</f>
        <v/>
      </c>
      <c r="O70" s="370" t="str">
        <f>IFERROR(IF(Active4=TRUE,HLOOKUP(Mammal_Chronic[[#This Row],[Crop]],Input_Scenario,14,FALSE)*HLOOKUP(Mammal_Chronic[[#This Row],[Crop]],Input_Scenario,8,FALSE)*Mammal_Chronic[[#This Row],[SVm]],""),"")</f>
        <v/>
      </c>
      <c r="P70" s="370" t="str">
        <f ca="1">IF($B$3&lt;&gt;"Passive",IFERROR(IF(ISNUMBER(INDEX(Active[M_NOAEL], 4)),
                          INDEX(Active[M_NOAEL], 4)/O70,""),""),"")</f>
        <v/>
      </c>
      <c r="Q70" s="370" t="str">
        <f>IFERROR(IF(Active5=TRUE,HLOOKUP(Mammal_Chronic[[#This Row],[Crop]],Input_Scenario,15,FALSE)*HLOOKUP(Mammal_Chronic[[#This Row],[Crop]],Input_Scenario,8,FALSE)*Mammal_Chronic[[#This Row],[SVm]],""),"")</f>
        <v/>
      </c>
      <c r="R70" s="370" t="str">
        <f ca="1">IF($B$3&lt;&gt;"Passive",IFERROR(IF(ISNUMBER(INDEX(Active[M_NOAEL], 5)),
                          INDEX(Active[M_NOAEL], 5)/Q70,""),""),"")</f>
        <v/>
      </c>
    </row>
    <row r="71" spans="1:18">
      <c r="A71" s="56"/>
      <c r="B71" s="314" t="str">
        <f t="shared" ca="1" si="0"/>
        <v>No input</v>
      </c>
      <c r="C71" s="72" t="s">
        <v>139</v>
      </c>
      <c r="D71" s="73" t="s">
        <v>140</v>
      </c>
      <c r="E71" s="73" t="s">
        <v>271</v>
      </c>
      <c r="F71" s="113">
        <v>6.6</v>
      </c>
      <c r="G71" s="203" t="str">
        <f ca="1">IF(AND(Mammal_Chronic[[#This Row],[Relevance]]="Input provided", Count&gt;=1),
       IF(M_ChronicScheme="C(mix)",
                 HLOOKUP(Mammal_Chronic[[#This Row],[Crop]], Input_Scenario,10,FALSE)*Mammal_Chronic[[#This Row],[SVm]]*HLOOKUP(Mammal_Chronic[[#This Row],[Crop]],Input_Scenario,8,FALSE),""),"")</f>
        <v/>
      </c>
      <c r="H71" s="368" t="str">
        <f t="shared" si="1"/>
        <v/>
      </c>
      <c r="I71" s="370" t="str">
        <f>IFERROR(IF(Active1=TRUE,HLOOKUP(Mammal_Chronic[[#This Row],[Crop]],Input_Scenario,11,FALSE)*HLOOKUP(Mammal_Chronic[[#This Row],[Crop]],Input_Scenario,8,FALSE)*Mammal_Chronic[[#This Row],[SVm]],""),"")</f>
        <v/>
      </c>
      <c r="J71" s="370" t="str">
        <f t="shared" ca="1" si="2"/>
        <v/>
      </c>
      <c r="K71" s="370" t="str">
        <f>IFERROR(IF(Active2=TRUE,HLOOKUP(Mammal_Chronic[[#This Row],[Crop]],Input_Scenario,12,FALSE)*HLOOKUP(Mammal_Chronic[[#This Row],[Crop]],Input_Scenario,8,FALSE)*Mammal_Chronic[[#This Row],[SVm]],""),"")</f>
        <v/>
      </c>
      <c r="L71" s="370" t="str">
        <f ca="1">IF($B$3&lt;&gt;"Passive",IFERROR(IF(ISNUMBER(INDEX(Active[M_NOAEL], 2)),
                          INDEX(Active[M_NOAEL], 2)/K71,""),""),"")</f>
        <v/>
      </c>
      <c r="M71" s="370" t="str">
        <f>IFERROR(IF(Active3=TRUE,HLOOKUP(Mammal_Chronic[[#This Row],[Crop]],Input_Scenario,13,FALSE)*HLOOKUP(Mammal_Chronic[[#This Row],[Crop]],Input_Scenario,8,FALSE)*Mammal_Chronic[[#This Row],[SVm]],""),"")</f>
        <v/>
      </c>
      <c r="N71" s="370" t="str">
        <f ca="1">IF($B$3&lt;&gt;"Passive",IFERROR(IF(ISNUMBER(INDEX(Active[M_NOAEL], 3)),
                          INDEX(Active[M_NOAEL], 3)/M71,""),""),"")</f>
        <v/>
      </c>
      <c r="O71" s="370" t="str">
        <f>IFERROR(IF(Active4=TRUE,HLOOKUP(Mammal_Chronic[[#This Row],[Crop]],Input_Scenario,14,FALSE)*HLOOKUP(Mammal_Chronic[[#This Row],[Crop]],Input_Scenario,8,FALSE)*Mammal_Chronic[[#This Row],[SVm]],""),"")</f>
        <v/>
      </c>
      <c r="P71" s="370" t="str">
        <f ca="1">IF($B$3&lt;&gt;"Passive",IFERROR(IF(ISNUMBER(INDEX(Active[M_NOAEL], 4)),
                          INDEX(Active[M_NOAEL], 4)/O71,""),""),"")</f>
        <v/>
      </c>
      <c r="Q71" s="370" t="str">
        <f>IFERROR(IF(Active5=TRUE,HLOOKUP(Mammal_Chronic[[#This Row],[Crop]],Input_Scenario,15,FALSE)*HLOOKUP(Mammal_Chronic[[#This Row],[Crop]],Input_Scenario,8,FALSE)*Mammal_Chronic[[#This Row],[SVm]],""),"")</f>
        <v/>
      </c>
      <c r="R71" s="370" t="str">
        <f ca="1">IF($B$3&lt;&gt;"Passive",IFERROR(IF(ISNUMBER(INDEX(Active[M_NOAEL], 5)),
                          INDEX(Active[M_NOAEL], 5)/Q71,""),""),"")</f>
        <v/>
      </c>
    </row>
    <row r="72" spans="1:18">
      <c r="A72" s="56"/>
      <c r="B72" s="314" t="str">
        <f t="shared" ca="1" si="0"/>
        <v>No input</v>
      </c>
      <c r="C72" s="72" t="s">
        <v>143</v>
      </c>
      <c r="D72" s="73" t="s">
        <v>108</v>
      </c>
      <c r="E72" s="73" t="s">
        <v>272</v>
      </c>
      <c r="F72" s="113">
        <v>4.2</v>
      </c>
      <c r="G72" s="203" t="str">
        <f ca="1">IF(AND(Mammal_Chronic[[#This Row],[Relevance]]="Input provided", Count&gt;=1),
       IF(M_ChronicScheme="C(mix)",
                 HLOOKUP(Mammal_Chronic[[#This Row],[Crop]], Input_Scenario,10,FALSE)*Mammal_Chronic[[#This Row],[SVm]]*HLOOKUP(Mammal_Chronic[[#This Row],[Crop]],Input_Scenario,8,FALSE),""),"")</f>
        <v/>
      </c>
      <c r="H72" s="368" t="str">
        <f t="shared" si="1"/>
        <v/>
      </c>
      <c r="I72" s="370" t="str">
        <f>IFERROR(IF(Active1=TRUE,HLOOKUP(Mammal_Chronic[[#This Row],[Crop]],Input_Scenario,11,FALSE)*HLOOKUP(Mammal_Chronic[[#This Row],[Crop]],Input_Scenario,8,FALSE)*Mammal_Chronic[[#This Row],[SVm]],""),"")</f>
        <v/>
      </c>
      <c r="J72" s="370" t="str">
        <f t="shared" ca="1" si="2"/>
        <v/>
      </c>
      <c r="K72" s="370" t="str">
        <f>IFERROR(IF(Active2=TRUE,HLOOKUP(Mammal_Chronic[[#This Row],[Crop]],Input_Scenario,12,FALSE)*HLOOKUP(Mammal_Chronic[[#This Row],[Crop]],Input_Scenario,8,FALSE)*Mammal_Chronic[[#This Row],[SVm]],""),"")</f>
        <v/>
      </c>
      <c r="L72" s="370" t="str">
        <f ca="1">IF($B$3&lt;&gt;"Passive",IFERROR(IF(ISNUMBER(INDEX(Active[M_NOAEL], 2)),
                          INDEX(Active[M_NOAEL], 2)/K72,""),""),"")</f>
        <v/>
      </c>
      <c r="M72" s="370" t="str">
        <f>IFERROR(IF(Active3=TRUE,HLOOKUP(Mammal_Chronic[[#This Row],[Crop]],Input_Scenario,13,FALSE)*HLOOKUP(Mammal_Chronic[[#This Row],[Crop]],Input_Scenario,8,FALSE)*Mammal_Chronic[[#This Row],[SVm]],""),"")</f>
        <v/>
      </c>
      <c r="N72" s="370" t="str">
        <f ca="1">IF($B$3&lt;&gt;"Passive",IFERROR(IF(ISNUMBER(INDEX(Active[M_NOAEL], 3)),
                          INDEX(Active[M_NOAEL], 3)/M72,""),""),"")</f>
        <v/>
      </c>
      <c r="O72" s="370" t="str">
        <f>IFERROR(IF(Active4=TRUE,HLOOKUP(Mammal_Chronic[[#This Row],[Crop]],Input_Scenario,14,FALSE)*HLOOKUP(Mammal_Chronic[[#This Row],[Crop]],Input_Scenario,8,FALSE)*Mammal_Chronic[[#This Row],[SVm]],""),"")</f>
        <v/>
      </c>
      <c r="P72" s="370" t="str">
        <f ca="1">IF($B$3&lt;&gt;"Passive",IFERROR(IF(ISNUMBER(INDEX(Active[M_NOAEL], 4)),
                          INDEX(Active[M_NOAEL], 4)/O72,""),""),"")</f>
        <v/>
      </c>
      <c r="Q72" s="370" t="str">
        <f>IFERROR(IF(Active5=TRUE,HLOOKUP(Mammal_Chronic[[#This Row],[Crop]],Input_Scenario,15,FALSE)*HLOOKUP(Mammal_Chronic[[#This Row],[Crop]],Input_Scenario,8,FALSE)*Mammal_Chronic[[#This Row],[SVm]],""),"")</f>
        <v/>
      </c>
      <c r="R72" s="370" t="str">
        <f ca="1">IF($B$3&lt;&gt;"Passive",IFERROR(IF(ISNUMBER(INDEX(Active[M_NOAEL], 5)),
                          INDEX(Active[M_NOAEL], 5)/Q72,""),""),"")</f>
        <v/>
      </c>
    </row>
    <row r="73" spans="1:18">
      <c r="A73" s="56"/>
      <c r="B73" s="314" t="str">
        <f t="shared" ca="1" si="0"/>
        <v>No input</v>
      </c>
      <c r="C73" s="72" t="s">
        <v>143</v>
      </c>
      <c r="D73" s="73" t="s">
        <v>111</v>
      </c>
      <c r="E73" s="73" t="s">
        <v>272</v>
      </c>
      <c r="F73" s="113">
        <v>1.9</v>
      </c>
      <c r="G73" s="203" t="str">
        <f ca="1">IF(AND(Mammal_Chronic[[#This Row],[Relevance]]="Input provided", Count&gt;=1),
       IF(M_ChronicScheme="C(mix)",
                 HLOOKUP(Mammal_Chronic[[#This Row],[Crop]], Input_Scenario,10,FALSE)*Mammal_Chronic[[#This Row],[SVm]]*HLOOKUP(Mammal_Chronic[[#This Row],[Crop]],Input_Scenario,8,FALSE),""),"")</f>
        <v/>
      </c>
      <c r="H73" s="368" t="str">
        <f t="shared" si="1"/>
        <v/>
      </c>
      <c r="I73" s="370" t="str">
        <f>IFERROR(IF(Active1=TRUE,HLOOKUP(Mammal_Chronic[[#This Row],[Crop]],Input_Scenario,11,FALSE)*HLOOKUP(Mammal_Chronic[[#This Row],[Crop]],Input_Scenario,8,FALSE)*Mammal_Chronic[[#This Row],[SVm]],""),"")</f>
        <v/>
      </c>
      <c r="J73" s="370" t="str">
        <f t="shared" ca="1" si="2"/>
        <v/>
      </c>
      <c r="K73" s="370" t="str">
        <f>IFERROR(IF(Active2=TRUE,HLOOKUP(Mammal_Chronic[[#This Row],[Crop]],Input_Scenario,12,FALSE)*HLOOKUP(Mammal_Chronic[[#This Row],[Crop]],Input_Scenario,8,FALSE)*Mammal_Chronic[[#This Row],[SVm]],""),"")</f>
        <v/>
      </c>
      <c r="L73" s="370" t="str">
        <f ca="1">IF($B$3&lt;&gt;"Passive",IFERROR(IF(ISNUMBER(INDEX(Active[M_NOAEL], 2)),
                          INDEX(Active[M_NOAEL], 2)/K73,""),""),"")</f>
        <v/>
      </c>
      <c r="M73" s="370" t="str">
        <f>IFERROR(IF(Active3=TRUE,HLOOKUP(Mammal_Chronic[[#This Row],[Crop]],Input_Scenario,13,FALSE)*HLOOKUP(Mammal_Chronic[[#This Row],[Crop]],Input_Scenario,8,FALSE)*Mammal_Chronic[[#This Row],[SVm]],""),"")</f>
        <v/>
      </c>
      <c r="N73" s="370" t="str">
        <f ca="1">IF($B$3&lt;&gt;"Passive",IFERROR(IF(ISNUMBER(INDEX(Active[M_NOAEL], 3)),
                          INDEX(Active[M_NOAEL], 3)/M73,""),""),"")</f>
        <v/>
      </c>
      <c r="O73" s="370" t="str">
        <f>IFERROR(IF(Active4=TRUE,HLOOKUP(Mammal_Chronic[[#This Row],[Crop]],Input_Scenario,14,FALSE)*HLOOKUP(Mammal_Chronic[[#This Row],[Crop]],Input_Scenario,8,FALSE)*Mammal_Chronic[[#This Row],[SVm]],""),"")</f>
        <v/>
      </c>
      <c r="P73" s="370" t="str">
        <f ca="1">IF($B$3&lt;&gt;"Passive",IFERROR(IF(ISNUMBER(INDEX(Active[M_NOAEL], 4)),
                          INDEX(Active[M_NOAEL], 4)/O73,""),""),"")</f>
        <v/>
      </c>
      <c r="Q73" s="370" t="str">
        <f>IFERROR(IF(Active5=TRUE,HLOOKUP(Mammal_Chronic[[#This Row],[Crop]],Input_Scenario,15,FALSE)*HLOOKUP(Mammal_Chronic[[#This Row],[Crop]],Input_Scenario,8,FALSE)*Mammal_Chronic[[#This Row],[SVm]],""),"")</f>
        <v/>
      </c>
      <c r="R73" s="370" t="str">
        <f ca="1">IF($B$3&lt;&gt;"Passive",IFERROR(IF(ISNUMBER(INDEX(Active[M_NOAEL], 5)),
                          INDEX(Active[M_NOAEL], 5)/Q73,""),""),"")</f>
        <v/>
      </c>
    </row>
    <row r="74" spans="1:18">
      <c r="A74" s="56"/>
      <c r="B74" s="314" t="str">
        <f t="shared" ca="1" si="0"/>
        <v>No input</v>
      </c>
      <c r="C74" s="72" t="s">
        <v>143</v>
      </c>
      <c r="D74" s="73" t="s">
        <v>146</v>
      </c>
      <c r="E74" s="73" t="s">
        <v>271</v>
      </c>
      <c r="F74" s="113">
        <v>3.9</v>
      </c>
      <c r="G74" s="203" t="str">
        <f ca="1">IF(AND(Mammal_Chronic[[#This Row],[Relevance]]="Input provided", Count&gt;=1),
       IF(M_ChronicScheme="C(mix)",
                 HLOOKUP(Mammal_Chronic[[#This Row],[Crop]], Input_Scenario,10,FALSE)*Mammal_Chronic[[#This Row],[SVm]]*HLOOKUP(Mammal_Chronic[[#This Row],[Crop]],Input_Scenario,8,FALSE),""),"")</f>
        <v/>
      </c>
      <c r="H74" s="368" t="str">
        <f t="shared" si="1"/>
        <v/>
      </c>
      <c r="I74" s="370" t="str">
        <f>IFERROR(IF(Active1=TRUE,HLOOKUP(Mammal_Chronic[[#This Row],[Crop]],Input_Scenario,11,FALSE)*HLOOKUP(Mammal_Chronic[[#This Row],[Crop]],Input_Scenario,8,FALSE)*Mammal_Chronic[[#This Row],[SVm]],""),"")</f>
        <v/>
      </c>
      <c r="J74" s="370" t="str">
        <f t="shared" ca="1" si="2"/>
        <v/>
      </c>
      <c r="K74" s="370" t="str">
        <f>IFERROR(IF(Active2=TRUE,HLOOKUP(Mammal_Chronic[[#This Row],[Crop]],Input_Scenario,12,FALSE)*HLOOKUP(Mammal_Chronic[[#This Row],[Crop]],Input_Scenario,8,FALSE)*Mammal_Chronic[[#This Row],[SVm]],""),"")</f>
        <v/>
      </c>
      <c r="L74" s="370" t="str">
        <f ca="1">IF($B$3&lt;&gt;"Passive",IFERROR(IF(ISNUMBER(INDEX(Active[M_NOAEL], 2)),
                          INDEX(Active[M_NOAEL], 2)/K74,""),""),"")</f>
        <v/>
      </c>
      <c r="M74" s="370" t="str">
        <f>IFERROR(IF(Active3=TRUE,HLOOKUP(Mammal_Chronic[[#This Row],[Crop]],Input_Scenario,13,FALSE)*HLOOKUP(Mammal_Chronic[[#This Row],[Crop]],Input_Scenario,8,FALSE)*Mammal_Chronic[[#This Row],[SVm]],""),"")</f>
        <v/>
      </c>
      <c r="N74" s="370" t="str">
        <f ca="1">IF($B$3&lt;&gt;"Passive",IFERROR(IF(ISNUMBER(INDEX(Active[M_NOAEL], 3)),
                          INDEX(Active[M_NOAEL], 3)/M74,""),""),"")</f>
        <v/>
      </c>
      <c r="O74" s="370" t="str">
        <f>IFERROR(IF(Active4=TRUE,HLOOKUP(Mammal_Chronic[[#This Row],[Crop]],Input_Scenario,14,FALSE)*HLOOKUP(Mammal_Chronic[[#This Row],[Crop]],Input_Scenario,8,FALSE)*Mammal_Chronic[[#This Row],[SVm]],""),"")</f>
        <v/>
      </c>
      <c r="P74" s="370" t="str">
        <f ca="1">IF($B$3&lt;&gt;"Passive",IFERROR(IF(ISNUMBER(INDEX(Active[M_NOAEL], 4)),
                          INDEX(Active[M_NOAEL], 4)/O74,""),""),"")</f>
        <v/>
      </c>
      <c r="Q74" s="370" t="str">
        <f>IFERROR(IF(Active5=TRUE,HLOOKUP(Mammal_Chronic[[#This Row],[Crop]],Input_Scenario,15,FALSE)*HLOOKUP(Mammal_Chronic[[#This Row],[Crop]],Input_Scenario,8,FALSE)*Mammal_Chronic[[#This Row],[SVm]],""),"")</f>
        <v/>
      </c>
      <c r="R74" s="370" t="str">
        <f ca="1">IF($B$3&lt;&gt;"Passive",IFERROR(IF(ISNUMBER(INDEX(Active[M_NOAEL], 5)),
                          INDEX(Active[M_NOAEL], 5)/Q74,""),""),"")</f>
        <v/>
      </c>
    </row>
    <row r="75" spans="1:18">
      <c r="A75" s="56"/>
      <c r="B75" s="314" t="str">
        <f t="shared" ca="1" si="0"/>
        <v>No input</v>
      </c>
      <c r="C75" s="72" t="s">
        <v>143</v>
      </c>
      <c r="D75" s="73" t="s">
        <v>108</v>
      </c>
      <c r="E75" s="73" t="s">
        <v>271</v>
      </c>
      <c r="F75" s="113">
        <v>7.8</v>
      </c>
      <c r="G75" s="203" t="str">
        <f ca="1">IF(AND(Mammal_Chronic[[#This Row],[Relevance]]="Input provided", Count&gt;=1),
       IF(M_ChronicScheme="C(mix)",
                 HLOOKUP(Mammal_Chronic[[#This Row],[Crop]], Input_Scenario,10,FALSE)*Mammal_Chronic[[#This Row],[SVm]]*HLOOKUP(Mammal_Chronic[[#This Row],[Crop]],Input_Scenario,8,FALSE),""),"")</f>
        <v/>
      </c>
      <c r="H75" s="368" t="str">
        <f t="shared" si="1"/>
        <v/>
      </c>
      <c r="I75" s="370" t="str">
        <f>IFERROR(IF(Active1=TRUE,HLOOKUP(Mammal_Chronic[[#This Row],[Crop]],Input_Scenario,11,FALSE)*HLOOKUP(Mammal_Chronic[[#This Row],[Crop]],Input_Scenario,8,FALSE)*Mammal_Chronic[[#This Row],[SVm]],""),"")</f>
        <v/>
      </c>
      <c r="J75" s="370" t="str">
        <f t="shared" ca="1" si="2"/>
        <v/>
      </c>
      <c r="K75" s="370" t="str">
        <f>IFERROR(IF(Active2=TRUE,HLOOKUP(Mammal_Chronic[[#This Row],[Crop]],Input_Scenario,12,FALSE)*HLOOKUP(Mammal_Chronic[[#This Row],[Crop]],Input_Scenario,8,FALSE)*Mammal_Chronic[[#This Row],[SVm]],""),"")</f>
        <v/>
      </c>
      <c r="L75" s="370" t="str">
        <f ca="1">IF($B$3&lt;&gt;"Passive",IFERROR(IF(ISNUMBER(INDEX(Active[M_NOAEL], 2)),
                          INDEX(Active[M_NOAEL], 2)/K75,""),""),"")</f>
        <v/>
      </c>
      <c r="M75" s="370" t="str">
        <f>IFERROR(IF(Active3=TRUE,HLOOKUP(Mammal_Chronic[[#This Row],[Crop]],Input_Scenario,13,FALSE)*HLOOKUP(Mammal_Chronic[[#This Row],[Crop]],Input_Scenario,8,FALSE)*Mammal_Chronic[[#This Row],[SVm]],""),"")</f>
        <v/>
      </c>
      <c r="N75" s="370" t="str">
        <f ca="1">IF($B$3&lt;&gt;"Passive",IFERROR(IF(ISNUMBER(INDEX(Active[M_NOAEL], 3)),
                          INDEX(Active[M_NOAEL], 3)/M75,""),""),"")</f>
        <v/>
      </c>
      <c r="O75" s="370" t="str">
        <f>IFERROR(IF(Active4=TRUE,HLOOKUP(Mammal_Chronic[[#This Row],[Crop]],Input_Scenario,14,FALSE)*HLOOKUP(Mammal_Chronic[[#This Row],[Crop]],Input_Scenario,8,FALSE)*Mammal_Chronic[[#This Row],[SVm]],""),"")</f>
        <v/>
      </c>
      <c r="P75" s="370" t="str">
        <f ca="1">IF($B$3&lt;&gt;"Passive",IFERROR(IF(ISNUMBER(INDEX(Active[M_NOAEL], 4)),
                          INDEX(Active[M_NOAEL], 4)/O75,""),""),"")</f>
        <v/>
      </c>
      <c r="Q75" s="370" t="str">
        <f>IFERROR(IF(Active5=TRUE,HLOOKUP(Mammal_Chronic[[#This Row],[Crop]],Input_Scenario,15,FALSE)*HLOOKUP(Mammal_Chronic[[#This Row],[Crop]],Input_Scenario,8,FALSE)*Mammal_Chronic[[#This Row],[SVm]],""),"")</f>
        <v/>
      </c>
      <c r="R75" s="370" t="str">
        <f ca="1">IF($B$3&lt;&gt;"Passive",IFERROR(IF(ISNUMBER(INDEX(Active[M_NOAEL], 5)),
                          INDEX(Active[M_NOAEL], 5)/Q75,""),""),"")</f>
        <v/>
      </c>
    </row>
    <row r="76" spans="1:18">
      <c r="A76" s="56"/>
      <c r="B76" s="314" t="str">
        <f t="shared" ca="1" si="0"/>
        <v>No input</v>
      </c>
      <c r="C76" s="72" t="s">
        <v>143</v>
      </c>
      <c r="D76" s="73" t="s">
        <v>109</v>
      </c>
      <c r="E76" s="73" t="s">
        <v>273</v>
      </c>
      <c r="F76" s="113">
        <v>21.7</v>
      </c>
      <c r="G76" s="203" t="str">
        <f ca="1">IF(AND(Mammal_Chronic[[#This Row],[Relevance]]="Input provided", Count&gt;=1),
       IF(M_ChronicScheme="C(mix)",
                 HLOOKUP(Mammal_Chronic[[#This Row],[Crop]], Input_Scenario,10,FALSE)*Mammal_Chronic[[#This Row],[SVm]]*HLOOKUP(Mammal_Chronic[[#This Row],[Crop]],Input_Scenario,8,FALSE),""),"")</f>
        <v/>
      </c>
      <c r="H76" s="368" t="str">
        <f t="shared" si="1"/>
        <v/>
      </c>
      <c r="I76" s="370" t="str">
        <f>IFERROR(IF(Active1=TRUE,HLOOKUP(Mammal_Chronic[[#This Row],[Crop]],Input_Scenario,11,FALSE)*HLOOKUP(Mammal_Chronic[[#This Row],[Crop]],Input_Scenario,8,FALSE)*Mammal_Chronic[[#This Row],[SVm]],""),"")</f>
        <v/>
      </c>
      <c r="J76" s="370" t="str">
        <f t="shared" ca="1" si="2"/>
        <v/>
      </c>
      <c r="K76" s="370" t="str">
        <f>IFERROR(IF(Active2=TRUE,HLOOKUP(Mammal_Chronic[[#This Row],[Crop]],Input_Scenario,12,FALSE)*HLOOKUP(Mammal_Chronic[[#This Row],[Crop]],Input_Scenario,8,FALSE)*Mammal_Chronic[[#This Row],[SVm]],""),"")</f>
        <v/>
      </c>
      <c r="L76" s="370" t="str">
        <f ca="1">IF($B$3&lt;&gt;"Passive",IFERROR(IF(ISNUMBER(INDEX(Active[M_NOAEL], 2)),
                          INDEX(Active[M_NOAEL], 2)/K76,""),""),"")</f>
        <v/>
      </c>
      <c r="M76" s="370" t="str">
        <f>IFERROR(IF(Active3=TRUE,HLOOKUP(Mammal_Chronic[[#This Row],[Crop]],Input_Scenario,13,FALSE)*HLOOKUP(Mammal_Chronic[[#This Row],[Crop]],Input_Scenario,8,FALSE)*Mammal_Chronic[[#This Row],[SVm]],""),"")</f>
        <v/>
      </c>
      <c r="N76" s="370" t="str">
        <f ca="1">IF($B$3&lt;&gt;"Passive",IFERROR(IF(ISNUMBER(INDEX(Active[M_NOAEL], 3)),
                          INDEX(Active[M_NOAEL], 3)/M76,""),""),"")</f>
        <v/>
      </c>
      <c r="O76" s="370" t="str">
        <f>IFERROR(IF(Active4=TRUE,HLOOKUP(Mammal_Chronic[[#This Row],[Crop]],Input_Scenario,14,FALSE)*HLOOKUP(Mammal_Chronic[[#This Row],[Crop]],Input_Scenario,8,FALSE)*Mammal_Chronic[[#This Row],[SVm]],""),"")</f>
        <v/>
      </c>
      <c r="P76" s="370" t="str">
        <f ca="1">IF($B$3&lt;&gt;"Passive",IFERROR(IF(ISNUMBER(INDEX(Active[M_NOAEL], 4)),
                          INDEX(Active[M_NOAEL], 4)/O76,""),""),"")</f>
        <v/>
      </c>
      <c r="Q76" s="370" t="str">
        <f>IFERROR(IF(Active5=TRUE,HLOOKUP(Mammal_Chronic[[#This Row],[Crop]],Input_Scenario,15,FALSE)*HLOOKUP(Mammal_Chronic[[#This Row],[Crop]],Input_Scenario,8,FALSE)*Mammal_Chronic[[#This Row],[SVm]],""),"")</f>
        <v/>
      </c>
      <c r="R76" s="370" t="str">
        <f ca="1">IF($B$3&lt;&gt;"Passive",IFERROR(IF(ISNUMBER(INDEX(Active[M_NOAEL], 5)),
                          INDEX(Active[M_NOAEL], 5)/Q76,""),""),"")</f>
        <v/>
      </c>
    </row>
    <row r="77" spans="1:18">
      <c r="A77" s="56"/>
      <c r="B77" s="314" t="str">
        <f t="shared" ca="1" si="0"/>
        <v>No input</v>
      </c>
      <c r="C77" s="72" t="s">
        <v>143</v>
      </c>
      <c r="D77" s="73" t="s">
        <v>109</v>
      </c>
      <c r="E77" s="73" t="s">
        <v>271</v>
      </c>
      <c r="F77" s="113">
        <v>2.2999999999999998</v>
      </c>
      <c r="G77" s="203" t="str">
        <f ca="1">IF(AND(Mammal_Chronic[[#This Row],[Relevance]]="Input provided", Count&gt;=1),
       IF(M_ChronicScheme="C(mix)",
                 HLOOKUP(Mammal_Chronic[[#This Row],[Crop]], Input_Scenario,10,FALSE)*Mammal_Chronic[[#This Row],[SVm]]*HLOOKUP(Mammal_Chronic[[#This Row],[Crop]],Input_Scenario,8,FALSE),""),"")</f>
        <v/>
      </c>
      <c r="H77" s="368" t="str">
        <f t="shared" si="1"/>
        <v/>
      </c>
      <c r="I77" s="370" t="str">
        <f>IFERROR(IF(Active1=TRUE,HLOOKUP(Mammal_Chronic[[#This Row],[Crop]],Input_Scenario,11,FALSE)*HLOOKUP(Mammal_Chronic[[#This Row],[Crop]],Input_Scenario,8,FALSE)*Mammal_Chronic[[#This Row],[SVm]],""),"")</f>
        <v/>
      </c>
      <c r="J77" s="370" t="str">
        <f t="shared" ca="1" si="2"/>
        <v/>
      </c>
      <c r="K77" s="370" t="str">
        <f>IFERROR(IF(Active2=TRUE,HLOOKUP(Mammal_Chronic[[#This Row],[Crop]],Input_Scenario,12,FALSE)*HLOOKUP(Mammal_Chronic[[#This Row],[Crop]],Input_Scenario,8,FALSE)*Mammal_Chronic[[#This Row],[SVm]],""),"")</f>
        <v/>
      </c>
      <c r="L77" s="370" t="str">
        <f ca="1">IF($B$3&lt;&gt;"Passive",IFERROR(IF(ISNUMBER(INDEX(Active[M_NOAEL], 2)),
                          INDEX(Active[M_NOAEL], 2)/K77,""),""),"")</f>
        <v/>
      </c>
      <c r="M77" s="370" t="str">
        <f>IFERROR(IF(Active3=TRUE,HLOOKUP(Mammal_Chronic[[#This Row],[Crop]],Input_Scenario,13,FALSE)*HLOOKUP(Mammal_Chronic[[#This Row],[Crop]],Input_Scenario,8,FALSE)*Mammal_Chronic[[#This Row],[SVm]],""),"")</f>
        <v/>
      </c>
      <c r="N77" s="370" t="str">
        <f ca="1">IF($B$3&lt;&gt;"Passive",IFERROR(IF(ISNUMBER(INDEX(Active[M_NOAEL], 3)),
                          INDEX(Active[M_NOAEL], 3)/M77,""),""),"")</f>
        <v/>
      </c>
      <c r="O77" s="370" t="str">
        <f>IFERROR(IF(Active4=TRUE,HLOOKUP(Mammal_Chronic[[#This Row],[Crop]],Input_Scenario,14,FALSE)*HLOOKUP(Mammal_Chronic[[#This Row],[Crop]],Input_Scenario,8,FALSE)*Mammal_Chronic[[#This Row],[SVm]],""),"")</f>
        <v/>
      </c>
      <c r="P77" s="370" t="str">
        <f ca="1">IF($B$3&lt;&gt;"Passive",IFERROR(IF(ISNUMBER(INDEX(Active[M_NOAEL], 4)),
                          INDEX(Active[M_NOAEL], 4)/O77,""),""),"")</f>
        <v/>
      </c>
      <c r="Q77" s="370" t="str">
        <f>IFERROR(IF(Active5=TRUE,HLOOKUP(Mammal_Chronic[[#This Row],[Crop]],Input_Scenario,15,FALSE)*HLOOKUP(Mammal_Chronic[[#This Row],[Crop]],Input_Scenario,8,FALSE)*Mammal_Chronic[[#This Row],[SVm]],""),"")</f>
        <v/>
      </c>
      <c r="R77" s="370" t="str">
        <f ca="1">IF($B$3&lt;&gt;"Passive",IFERROR(IF(ISNUMBER(INDEX(Active[M_NOAEL], 5)),
                          INDEX(Active[M_NOAEL], 5)/Q77,""),""),"")</f>
        <v/>
      </c>
    </row>
    <row r="78" spans="1:18">
      <c r="A78" s="56"/>
      <c r="B78" s="314" t="str">
        <f t="shared" ca="1" si="0"/>
        <v>No input</v>
      </c>
      <c r="C78" s="72" t="s">
        <v>147</v>
      </c>
      <c r="D78" s="73" t="s">
        <v>108</v>
      </c>
      <c r="E78" s="73" t="s">
        <v>272</v>
      </c>
      <c r="F78" s="113">
        <v>4.2</v>
      </c>
      <c r="G78" s="203" t="str">
        <f ca="1">IF(AND(Mammal_Chronic[[#This Row],[Relevance]]="Input provided", Count&gt;=1),
       IF(M_ChronicScheme="C(mix)",
                 HLOOKUP(Mammal_Chronic[[#This Row],[Crop]], Input_Scenario,10,FALSE)*Mammal_Chronic[[#This Row],[SVm]]*HLOOKUP(Mammal_Chronic[[#This Row],[Crop]],Input_Scenario,8,FALSE),""),"")</f>
        <v/>
      </c>
      <c r="H78" s="368" t="str">
        <f t="shared" si="1"/>
        <v/>
      </c>
      <c r="I78" s="370" t="str">
        <f>IFERROR(IF(Active1=TRUE,HLOOKUP(Mammal_Chronic[[#This Row],[Crop]],Input_Scenario,11,FALSE)*HLOOKUP(Mammal_Chronic[[#This Row],[Crop]],Input_Scenario,8,FALSE)*Mammal_Chronic[[#This Row],[SVm]],""),"")</f>
        <v/>
      </c>
      <c r="J78" s="370" t="str">
        <f t="shared" ca="1" si="2"/>
        <v/>
      </c>
      <c r="K78" s="370" t="str">
        <f>IFERROR(IF(Active2=TRUE,HLOOKUP(Mammal_Chronic[[#This Row],[Crop]],Input_Scenario,12,FALSE)*HLOOKUP(Mammal_Chronic[[#This Row],[Crop]],Input_Scenario,8,FALSE)*Mammal_Chronic[[#This Row],[SVm]],""),"")</f>
        <v/>
      </c>
      <c r="L78" s="370" t="str">
        <f ca="1">IF($B$3&lt;&gt;"Passive",IFERROR(IF(ISNUMBER(INDEX(Active[M_NOAEL], 2)),
                          INDEX(Active[M_NOAEL], 2)/K78,""),""),"")</f>
        <v/>
      </c>
      <c r="M78" s="370" t="str">
        <f>IFERROR(IF(Active3=TRUE,HLOOKUP(Mammal_Chronic[[#This Row],[Crop]],Input_Scenario,13,FALSE)*HLOOKUP(Mammal_Chronic[[#This Row],[Crop]],Input_Scenario,8,FALSE)*Mammal_Chronic[[#This Row],[SVm]],""),"")</f>
        <v/>
      </c>
      <c r="N78" s="370" t="str">
        <f ca="1">IF($B$3&lt;&gt;"Passive",IFERROR(IF(ISNUMBER(INDEX(Active[M_NOAEL], 3)),
                          INDEX(Active[M_NOAEL], 3)/M78,""),""),"")</f>
        <v/>
      </c>
      <c r="O78" s="370" t="str">
        <f>IFERROR(IF(Active4=TRUE,HLOOKUP(Mammal_Chronic[[#This Row],[Crop]],Input_Scenario,14,FALSE)*HLOOKUP(Mammal_Chronic[[#This Row],[Crop]],Input_Scenario,8,FALSE)*Mammal_Chronic[[#This Row],[SVm]],""),"")</f>
        <v/>
      </c>
      <c r="P78" s="370" t="str">
        <f ca="1">IF($B$3&lt;&gt;"Passive",IFERROR(IF(ISNUMBER(INDEX(Active[M_NOAEL], 4)),
                          INDEX(Active[M_NOAEL], 4)/O78,""),""),"")</f>
        <v/>
      </c>
      <c r="Q78" s="370" t="str">
        <f>IFERROR(IF(Active5=TRUE,HLOOKUP(Mammal_Chronic[[#This Row],[Crop]],Input_Scenario,15,FALSE)*HLOOKUP(Mammal_Chronic[[#This Row],[Crop]],Input_Scenario,8,FALSE)*Mammal_Chronic[[#This Row],[SVm]],""),"")</f>
        <v/>
      </c>
      <c r="R78" s="370" t="str">
        <f ca="1">IF($B$3&lt;&gt;"Passive",IFERROR(IF(ISNUMBER(INDEX(Active[M_NOAEL], 5)),
                          INDEX(Active[M_NOAEL], 5)/Q78,""),""),"")</f>
        <v/>
      </c>
    </row>
    <row r="79" spans="1:18">
      <c r="A79" s="56"/>
      <c r="B79" s="314" t="str">
        <f t="shared" ca="1" si="0"/>
        <v>No input</v>
      </c>
      <c r="C79" s="72" t="s">
        <v>147</v>
      </c>
      <c r="D79" s="73" t="s">
        <v>111</v>
      </c>
      <c r="E79" s="73" t="s">
        <v>272</v>
      </c>
      <c r="F79" s="113">
        <v>1.9</v>
      </c>
      <c r="G79" s="203" t="str">
        <f ca="1">IF(AND(Mammal_Chronic[[#This Row],[Relevance]]="Input provided", Count&gt;=1),
       IF(M_ChronicScheme="C(mix)",
                 HLOOKUP(Mammal_Chronic[[#This Row],[Crop]], Input_Scenario,10,FALSE)*Mammal_Chronic[[#This Row],[SVm]]*HLOOKUP(Mammal_Chronic[[#This Row],[Crop]],Input_Scenario,8,FALSE),""),"")</f>
        <v/>
      </c>
      <c r="H79" s="368" t="str">
        <f t="shared" si="1"/>
        <v/>
      </c>
      <c r="I79" s="370" t="str">
        <f>IFERROR(IF(Active1=TRUE,HLOOKUP(Mammal_Chronic[[#This Row],[Crop]],Input_Scenario,11,FALSE)*HLOOKUP(Mammal_Chronic[[#This Row],[Crop]],Input_Scenario,8,FALSE)*Mammal_Chronic[[#This Row],[SVm]],""),"")</f>
        <v/>
      </c>
      <c r="J79" s="370" t="str">
        <f t="shared" ca="1" si="2"/>
        <v/>
      </c>
      <c r="K79" s="370" t="str">
        <f>IFERROR(IF(Active2=TRUE,HLOOKUP(Mammal_Chronic[[#This Row],[Crop]],Input_Scenario,12,FALSE)*HLOOKUP(Mammal_Chronic[[#This Row],[Crop]],Input_Scenario,8,FALSE)*Mammal_Chronic[[#This Row],[SVm]],""),"")</f>
        <v/>
      </c>
      <c r="L79" s="370" t="str">
        <f ca="1">IF($B$3&lt;&gt;"Passive",IFERROR(IF(ISNUMBER(INDEX(Active[M_NOAEL], 2)),
                          INDEX(Active[M_NOAEL], 2)/K79,""),""),"")</f>
        <v/>
      </c>
      <c r="M79" s="370" t="str">
        <f>IFERROR(IF(Active3=TRUE,HLOOKUP(Mammal_Chronic[[#This Row],[Crop]],Input_Scenario,13,FALSE)*HLOOKUP(Mammal_Chronic[[#This Row],[Crop]],Input_Scenario,8,FALSE)*Mammal_Chronic[[#This Row],[SVm]],""),"")</f>
        <v/>
      </c>
      <c r="N79" s="370" t="str">
        <f ca="1">IF($B$3&lt;&gt;"Passive",IFERROR(IF(ISNUMBER(INDEX(Active[M_NOAEL], 3)),
                          INDEX(Active[M_NOAEL], 3)/M79,""),""),"")</f>
        <v/>
      </c>
      <c r="O79" s="370" t="str">
        <f>IFERROR(IF(Active4=TRUE,HLOOKUP(Mammal_Chronic[[#This Row],[Crop]],Input_Scenario,14,FALSE)*HLOOKUP(Mammal_Chronic[[#This Row],[Crop]],Input_Scenario,8,FALSE)*Mammal_Chronic[[#This Row],[SVm]],""),"")</f>
        <v/>
      </c>
      <c r="P79" s="370" t="str">
        <f ca="1">IF($B$3&lt;&gt;"Passive",IFERROR(IF(ISNUMBER(INDEX(Active[M_NOAEL], 4)),
                          INDEX(Active[M_NOAEL], 4)/O79,""),""),"")</f>
        <v/>
      </c>
      <c r="Q79" s="370" t="str">
        <f>IFERROR(IF(Active5=TRUE,HLOOKUP(Mammal_Chronic[[#This Row],[Crop]],Input_Scenario,15,FALSE)*HLOOKUP(Mammal_Chronic[[#This Row],[Crop]],Input_Scenario,8,FALSE)*Mammal_Chronic[[#This Row],[SVm]],""),"")</f>
        <v/>
      </c>
      <c r="R79" s="370" t="str">
        <f ca="1">IF($B$3&lt;&gt;"Passive",IFERROR(IF(ISNUMBER(INDEX(Active[M_NOAEL], 5)),
                          INDEX(Active[M_NOAEL], 5)/Q79,""),""),"")</f>
        <v/>
      </c>
    </row>
    <row r="80" spans="1:18">
      <c r="A80" s="56"/>
      <c r="B80" s="314" t="str">
        <f t="shared" ca="1" si="0"/>
        <v>No input</v>
      </c>
      <c r="C80" s="72" t="s">
        <v>147</v>
      </c>
      <c r="D80" s="73" t="s">
        <v>257</v>
      </c>
      <c r="E80" s="73" t="s">
        <v>273</v>
      </c>
      <c r="F80" s="113">
        <v>72.3</v>
      </c>
      <c r="G80" s="203" t="str">
        <f ca="1">IF(AND(Mammal_Chronic[[#This Row],[Relevance]]="Input provided", Count&gt;=1),
       IF(M_ChronicScheme="C(mix)",
                 HLOOKUP(Mammal_Chronic[[#This Row],[Crop]], Input_Scenario,10,FALSE)*Mammal_Chronic[[#This Row],[SVm]]*HLOOKUP(Mammal_Chronic[[#This Row],[Crop]],Input_Scenario,8,FALSE),""),"")</f>
        <v/>
      </c>
      <c r="H80" s="368" t="str">
        <f t="shared" si="1"/>
        <v/>
      </c>
      <c r="I80" s="370" t="str">
        <f>IFERROR(IF(Active1=TRUE,HLOOKUP(Mammal_Chronic[[#This Row],[Crop]],Input_Scenario,11,FALSE)*HLOOKUP(Mammal_Chronic[[#This Row],[Crop]],Input_Scenario,8,FALSE)*Mammal_Chronic[[#This Row],[SVm]],""),"")</f>
        <v/>
      </c>
      <c r="J80" s="370" t="str">
        <f t="shared" ca="1" si="2"/>
        <v/>
      </c>
      <c r="K80" s="370" t="str">
        <f>IFERROR(IF(Active2=TRUE,HLOOKUP(Mammal_Chronic[[#This Row],[Crop]],Input_Scenario,12,FALSE)*HLOOKUP(Mammal_Chronic[[#This Row],[Crop]],Input_Scenario,8,FALSE)*Mammal_Chronic[[#This Row],[SVm]],""),"")</f>
        <v/>
      </c>
      <c r="L80" s="370" t="str">
        <f ca="1">IF($B$3&lt;&gt;"Passive",IFERROR(IF(ISNUMBER(INDEX(Active[M_NOAEL], 2)),
                          INDEX(Active[M_NOAEL], 2)/K80,""),""),"")</f>
        <v/>
      </c>
      <c r="M80" s="370" t="str">
        <f>IFERROR(IF(Active3=TRUE,HLOOKUP(Mammal_Chronic[[#This Row],[Crop]],Input_Scenario,13,FALSE)*HLOOKUP(Mammal_Chronic[[#This Row],[Crop]],Input_Scenario,8,FALSE)*Mammal_Chronic[[#This Row],[SVm]],""),"")</f>
        <v/>
      </c>
      <c r="N80" s="370" t="str">
        <f ca="1">IF($B$3&lt;&gt;"Passive",IFERROR(IF(ISNUMBER(INDEX(Active[M_NOAEL], 3)),
                          INDEX(Active[M_NOAEL], 3)/M80,""),""),"")</f>
        <v/>
      </c>
      <c r="O80" s="370" t="str">
        <f>IFERROR(IF(Active4=TRUE,HLOOKUP(Mammal_Chronic[[#This Row],[Crop]],Input_Scenario,14,FALSE)*HLOOKUP(Mammal_Chronic[[#This Row],[Crop]],Input_Scenario,8,FALSE)*Mammal_Chronic[[#This Row],[SVm]],""),"")</f>
        <v/>
      </c>
      <c r="P80" s="370" t="str">
        <f ca="1">IF($B$3&lt;&gt;"Passive",IFERROR(IF(ISNUMBER(INDEX(Active[M_NOAEL], 4)),
                          INDEX(Active[M_NOAEL], 4)/O80,""),""),"")</f>
        <v/>
      </c>
      <c r="Q80" s="370" t="str">
        <f>IFERROR(IF(Active5=TRUE,HLOOKUP(Mammal_Chronic[[#This Row],[Crop]],Input_Scenario,15,FALSE)*HLOOKUP(Mammal_Chronic[[#This Row],[Crop]],Input_Scenario,8,FALSE)*Mammal_Chronic[[#This Row],[SVm]],""),"")</f>
        <v/>
      </c>
      <c r="R80" s="370" t="str">
        <f ca="1">IF($B$3&lt;&gt;"Passive",IFERROR(IF(ISNUMBER(INDEX(Active[M_NOAEL], 5)),
                          INDEX(Active[M_NOAEL], 5)/Q80,""),""),"")</f>
        <v/>
      </c>
    </row>
    <row r="81" spans="1:18">
      <c r="A81" s="56"/>
      <c r="B81" s="314" t="str">
        <f t="shared" ca="1" si="0"/>
        <v>No input</v>
      </c>
      <c r="C81" s="72" t="s">
        <v>147</v>
      </c>
      <c r="D81" s="73" t="s">
        <v>134</v>
      </c>
      <c r="E81" s="73" t="s">
        <v>273</v>
      </c>
      <c r="F81" s="113">
        <v>21.7</v>
      </c>
      <c r="G81" s="203" t="str">
        <f ca="1">IF(AND(Mammal_Chronic[[#This Row],[Relevance]]="Input provided", Count&gt;=1),
       IF(M_ChronicScheme="C(mix)",
                 HLOOKUP(Mammal_Chronic[[#This Row],[Crop]], Input_Scenario,10,FALSE)*Mammal_Chronic[[#This Row],[SVm]]*HLOOKUP(Mammal_Chronic[[#This Row],[Crop]],Input_Scenario,8,FALSE),""),"")</f>
        <v/>
      </c>
      <c r="H81" s="368" t="str">
        <f t="shared" si="1"/>
        <v/>
      </c>
      <c r="I81" s="370" t="str">
        <f>IFERROR(IF(Active1=TRUE,HLOOKUP(Mammal_Chronic[[#This Row],[Crop]],Input_Scenario,11,FALSE)*HLOOKUP(Mammal_Chronic[[#This Row],[Crop]],Input_Scenario,8,FALSE)*Mammal_Chronic[[#This Row],[SVm]],""),"")</f>
        <v/>
      </c>
      <c r="J81" s="370" t="str">
        <f t="shared" ca="1" si="2"/>
        <v/>
      </c>
      <c r="K81" s="370" t="str">
        <f>IFERROR(IF(Active2=TRUE,HLOOKUP(Mammal_Chronic[[#This Row],[Crop]],Input_Scenario,12,FALSE)*HLOOKUP(Mammal_Chronic[[#This Row],[Crop]],Input_Scenario,8,FALSE)*Mammal_Chronic[[#This Row],[SVm]],""),"")</f>
        <v/>
      </c>
      <c r="L81" s="370" t="str">
        <f ca="1">IF($B$3&lt;&gt;"Passive",IFERROR(IF(ISNUMBER(INDEX(Active[M_NOAEL], 2)),
                          INDEX(Active[M_NOAEL], 2)/K81,""),""),"")</f>
        <v/>
      </c>
      <c r="M81" s="370" t="str">
        <f>IFERROR(IF(Active3=TRUE,HLOOKUP(Mammal_Chronic[[#This Row],[Crop]],Input_Scenario,13,FALSE)*HLOOKUP(Mammal_Chronic[[#This Row],[Crop]],Input_Scenario,8,FALSE)*Mammal_Chronic[[#This Row],[SVm]],""),"")</f>
        <v/>
      </c>
      <c r="N81" s="370" t="str">
        <f ca="1">IF($B$3&lt;&gt;"Passive",IFERROR(IF(ISNUMBER(INDEX(Active[M_NOAEL], 3)),
                          INDEX(Active[M_NOAEL], 3)/M81,""),""),"")</f>
        <v/>
      </c>
      <c r="O81" s="370" t="str">
        <f>IFERROR(IF(Active4=TRUE,HLOOKUP(Mammal_Chronic[[#This Row],[Crop]],Input_Scenario,14,FALSE)*HLOOKUP(Mammal_Chronic[[#This Row],[Crop]],Input_Scenario,8,FALSE)*Mammal_Chronic[[#This Row],[SVm]],""),"")</f>
        <v/>
      </c>
      <c r="P81" s="370" t="str">
        <f ca="1">IF($B$3&lt;&gt;"Passive",IFERROR(IF(ISNUMBER(INDEX(Active[M_NOAEL], 4)),
                          INDEX(Active[M_NOAEL], 4)/O81,""),""),"")</f>
        <v/>
      </c>
      <c r="Q81" s="370" t="str">
        <f>IFERROR(IF(Active5=TRUE,HLOOKUP(Mammal_Chronic[[#This Row],[Crop]],Input_Scenario,15,FALSE)*HLOOKUP(Mammal_Chronic[[#This Row],[Crop]],Input_Scenario,8,FALSE)*Mammal_Chronic[[#This Row],[SVm]],""),"")</f>
        <v/>
      </c>
      <c r="R81" s="370" t="str">
        <f ca="1">IF($B$3&lt;&gt;"Passive",IFERROR(IF(ISNUMBER(INDEX(Active[M_NOAEL], 5)),
                          INDEX(Active[M_NOAEL], 5)/Q81,""),""),"")</f>
        <v/>
      </c>
    </row>
    <row r="82" spans="1:18">
      <c r="A82" s="56"/>
      <c r="B82" s="314" t="str">
        <f t="shared" ca="1" si="0"/>
        <v>No input</v>
      </c>
      <c r="C82" s="72" t="s">
        <v>147</v>
      </c>
      <c r="D82" s="73" t="s">
        <v>254</v>
      </c>
      <c r="E82" s="73" t="s">
        <v>275</v>
      </c>
      <c r="F82" s="113">
        <v>14.3</v>
      </c>
      <c r="G82" s="203" t="str">
        <f ca="1">IF(AND(Mammal_Chronic[[#This Row],[Relevance]]="Input provided", Count&gt;=1),
       IF(M_ChronicScheme="C(mix)",
                 HLOOKUP(Mammal_Chronic[[#This Row],[Crop]], Input_Scenario,10,FALSE)*Mammal_Chronic[[#This Row],[SVm]]*HLOOKUP(Mammal_Chronic[[#This Row],[Crop]],Input_Scenario,8,FALSE),""),"")</f>
        <v/>
      </c>
      <c r="H82" s="368" t="str">
        <f t="shared" si="1"/>
        <v/>
      </c>
      <c r="I82" s="370" t="str">
        <f>IFERROR(IF(Active1=TRUE,HLOOKUP(Mammal_Chronic[[#This Row],[Crop]],Input_Scenario,11,FALSE)*HLOOKUP(Mammal_Chronic[[#This Row],[Crop]],Input_Scenario,8,FALSE)*Mammal_Chronic[[#This Row],[SVm]],""),"")</f>
        <v/>
      </c>
      <c r="J82" s="370" t="str">
        <f t="shared" ca="1" si="2"/>
        <v/>
      </c>
      <c r="K82" s="370" t="str">
        <f>IFERROR(IF(Active2=TRUE,HLOOKUP(Mammal_Chronic[[#This Row],[Crop]],Input_Scenario,12,FALSE)*HLOOKUP(Mammal_Chronic[[#This Row],[Crop]],Input_Scenario,8,FALSE)*Mammal_Chronic[[#This Row],[SVm]],""),"")</f>
        <v/>
      </c>
      <c r="L82" s="370" t="str">
        <f ca="1">IF($B$3&lt;&gt;"Passive",IFERROR(IF(ISNUMBER(INDEX(Active[M_NOAEL], 2)),
                          INDEX(Active[M_NOAEL], 2)/K82,""),""),"")</f>
        <v/>
      </c>
      <c r="M82" s="370" t="str">
        <f>IFERROR(IF(Active3=TRUE,HLOOKUP(Mammal_Chronic[[#This Row],[Crop]],Input_Scenario,13,FALSE)*HLOOKUP(Mammal_Chronic[[#This Row],[Crop]],Input_Scenario,8,FALSE)*Mammal_Chronic[[#This Row],[SVm]],""),"")</f>
        <v/>
      </c>
      <c r="N82" s="370" t="str">
        <f ca="1">IF($B$3&lt;&gt;"Passive",IFERROR(IF(ISNUMBER(INDEX(Active[M_NOAEL], 3)),
                          INDEX(Active[M_NOAEL], 3)/M82,""),""),"")</f>
        <v/>
      </c>
      <c r="O82" s="370" t="str">
        <f>IFERROR(IF(Active4=TRUE,HLOOKUP(Mammal_Chronic[[#This Row],[Crop]],Input_Scenario,14,FALSE)*HLOOKUP(Mammal_Chronic[[#This Row],[Crop]],Input_Scenario,8,FALSE)*Mammal_Chronic[[#This Row],[SVm]],""),"")</f>
        <v/>
      </c>
      <c r="P82" s="370" t="str">
        <f ca="1">IF($B$3&lt;&gt;"Passive",IFERROR(IF(ISNUMBER(INDEX(Active[M_NOAEL], 4)),
                          INDEX(Active[M_NOAEL], 4)/O82,""),""),"")</f>
        <v/>
      </c>
      <c r="Q82" s="370" t="str">
        <f>IFERROR(IF(Active5=TRUE,HLOOKUP(Mammal_Chronic[[#This Row],[Crop]],Input_Scenario,15,FALSE)*HLOOKUP(Mammal_Chronic[[#This Row],[Crop]],Input_Scenario,8,FALSE)*Mammal_Chronic[[#This Row],[SVm]],""),"")</f>
        <v/>
      </c>
      <c r="R82" s="370" t="str">
        <f ca="1">IF($B$3&lt;&gt;"Passive",IFERROR(IF(ISNUMBER(INDEX(Active[M_NOAEL], 5)),
                          INDEX(Active[M_NOAEL], 5)/Q82,""),""),"")</f>
        <v/>
      </c>
    </row>
    <row r="83" spans="1:18">
      <c r="A83" s="56"/>
      <c r="B83" s="314" t="str">
        <f t="shared" ca="1" si="0"/>
        <v>No input</v>
      </c>
      <c r="C83" s="72" t="s">
        <v>147</v>
      </c>
      <c r="D83" s="73" t="s">
        <v>132</v>
      </c>
      <c r="E83" s="73" t="s">
        <v>271</v>
      </c>
      <c r="F83" s="113">
        <v>7.8</v>
      </c>
      <c r="G83" s="203" t="str">
        <f ca="1">IF(AND(Mammal_Chronic[[#This Row],[Relevance]]="Input provided", Count&gt;=1),
       IF(M_ChronicScheme="C(mix)",
                 HLOOKUP(Mammal_Chronic[[#This Row],[Crop]], Input_Scenario,10,FALSE)*Mammal_Chronic[[#This Row],[SVm]]*HLOOKUP(Mammal_Chronic[[#This Row],[Crop]],Input_Scenario,8,FALSE),""),"")</f>
        <v/>
      </c>
      <c r="H83" s="368" t="str">
        <f t="shared" si="1"/>
        <v/>
      </c>
      <c r="I83" s="370" t="str">
        <f>IFERROR(IF(Active1=TRUE,HLOOKUP(Mammal_Chronic[[#This Row],[Crop]],Input_Scenario,11,FALSE)*HLOOKUP(Mammal_Chronic[[#This Row],[Crop]],Input_Scenario,8,FALSE)*Mammal_Chronic[[#This Row],[SVm]],""),"")</f>
        <v/>
      </c>
      <c r="J83" s="370" t="str">
        <f t="shared" ca="1" si="2"/>
        <v/>
      </c>
      <c r="K83" s="370" t="str">
        <f>IFERROR(IF(Active2=TRUE,HLOOKUP(Mammal_Chronic[[#This Row],[Crop]],Input_Scenario,12,FALSE)*HLOOKUP(Mammal_Chronic[[#This Row],[Crop]],Input_Scenario,8,FALSE)*Mammal_Chronic[[#This Row],[SVm]],""),"")</f>
        <v/>
      </c>
      <c r="L83" s="370" t="str">
        <f ca="1">IF($B$3&lt;&gt;"Passive",IFERROR(IF(ISNUMBER(INDEX(Active[M_NOAEL], 2)),
                          INDEX(Active[M_NOAEL], 2)/K83,""),""),"")</f>
        <v/>
      </c>
      <c r="M83" s="370" t="str">
        <f>IFERROR(IF(Active3=TRUE,HLOOKUP(Mammal_Chronic[[#This Row],[Crop]],Input_Scenario,13,FALSE)*HLOOKUP(Mammal_Chronic[[#This Row],[Crop]],Input_Scenario,8,FALSE)*Mammal_Chronic[[#This Row],[SVm]],""),"")</f>
        <v/>
      </c>
      <c r="N83" s="370" t="str">
        <f ca="1">IF($B$3&lt;&gt;"Passive",IFERROR(IF(ISNUMBER(INDEX(Active[M_NOAEL], 3)),
                          INDEX(Active[M_NOAEL], 3)/M83,""),""),"")</f>
        <v/>
      </c>
      <c r="O83" s="370" t="str">
        <f>IFERROR(IF(Active4=TRUE,HLOOKUP(Mammal_Chronic[[#This Row],[Crop]],Input_Scenario,14,FALSE)*HLOOKUP(Mammal_Chronic[[#This Row],[Crop]],Input_Scenario,8,FALSE)*Mammal_Chronic[[#This Row],[SVm]],""),"")</f>
        <v/>
      </c>
      <c r="P83" s="370" t="str">
        <f ca="1">IF($B$3&lt;&gt;"Passive",IFERROR(IF(ISNUMBER(INDEX(Active[M_NOAEL], 4)),
                          INDEX(Active[M_NOAEL], 4)/O83,""),""),"")</f>
        <v/>
      </c>
      <c r="Q83" s="370" t="str">
        <f>IFERROR(IF(Active5=TRUE,HLOOKUP(Mammal_Chronic[[#This Row],[Crop]],Input_Scenario,15,FALSE)*HLOOKUP(Mammal_Chronic[[#This Row],[Crop]],Input_Scenario,8,FALSE)*Mammal_Chronic[[#This Row],[SVm]],""),"")</f>
        <v/>
      </c>
      <c r="R83" s="370" t="str">
        <f ca="1">IF($B$3&lt;&gt;"Passive",IFERROR(IF(ISNUMBER(INDEX(Active[M_NOAEL], 5)),
                          INDEX(Active[M_NOAEL], 5)/Q83,""),""),"")</f>
        <v/>
      </c>
    </row>
    <row r="84" spans="1:18">
      <c r="A84" s="56"/>
      <c r="B84" s="314" t="str">
        <f t="shared" ca="1" si="0"/>
        <v>No input</v>
      </c>
      <c r="C84" s="72" t="s">
        <v>147</v>
      </c>
      <c r="D84" s="73" t="s">
        <v>134</v>
      </c>
      <c r="E84" s="73" t="s">
        <v>271</v>
      </c>
      <c r="F84" s="113">
        <v>2.2999999999999998</v>
      </c>
      <c r="G84" s="203" t="str">
        <f ca="1">IF(AND(Mammal_Chronic[[#This Row],[Relevance]]="Input provided", Count&gt;=1),
       IF(M_ChronicScheme="C(mix)",
                 HLOOKUP(Mammal_Chronic[[#This Row],[Crop]], Input_Scenario,10,FALSE)*Mammal_Chronic[[#This Row],[SVm]]*HLOOKUP(Mammal_Chronic[[#This Row],[Crop]],Input_Scenario,8,FALSE),""),"")</f>
        <v/>
      </c>
      <c r="H84" s="368" t="str">
        <f t="shared" si="1"/>
        <v/>
      </c>
      <c r="I84" s="370" t="str">
        <f>IFERROR(IF(Active1=TRUE,HLOOKUP(Mammal_Chronic[[#This Row],[Crop]],Input_Scenario,11,FALSE)*HLOOKUP(Mammal_Chronic[[#This Row],[Crop]],Input_Scenario,8,FALSE)*Mammal_Chronic[[#This Row],[SVm]],""),"")</f>
        <v/>
      </c>
      <c r="J84" s="370" t="str">
        <f t="shared" ca="1" si="2"/>
        <v/>
      </c>
      <c r="K84" s="370" t="str">
        <f>IFERROR(IF(Active2=TRUE,HLOOKUP(Mammal_Chronic[[#This Row],[Crop]],Input_Scenario,12,FALSE)*HLOOKUP(Mammal_Chronic[[#This Row],[Crop]],Input_Scenario,8,FALSE)*Mammal_Chronic[[#This Row],[SVm]],""),"")</f>
        <v/>
      </c>
      <c r="L84" s="370" t="str">
        <f ca="1">IF($B$3&lt;&gt;"Passive",IFERROR(IF(ISNUMBER(INDEX(Active[M_NOAEL], 2)),
                          INDEX(Active[M_NOAEL], 2)/K84,""),""),"")</f>
        <v/>
      </c>
      <c r="M84" s="370" t="str">
        <f>IFERROR(IF(Active3=TRUE,HLOOKUP(Mammal_Chronic[[#This Row],[Crop]],Input_Scenario,13,FALSE)*HLOOKUP(Mammal_Chronic[[#This Row],[Crop]],Input_Scenario,8,FALSE)*Mammal_Chronic[[#This Row],[SVm]],""),"")</f>
        <v/>
      </c>
      <c r="N84" s="370" t="str">
        <f ca="1">IF($B$3&lt;&gt;"Passive",IFERROR(IF(ISNUMBER(INDEX(Active[M_NOAEL], 3)),
                          INDEX(Active[M_NOAEL], 3)/M84,""),""),"")</f>
        <v/>
      </c>
      <c r="O84" s="370" t="str">
        <f>IFERROR(IF(Active4=TRUE,HLOOKUP(Mammal_Chronic[[#This Row],[Crop]],Input_Scenario,14,FALSE)*HLOOKUP(Mammal_Chronic[[#This Row],[Crop]],Input_Scenario,8,FALSE)*Mammal_Chronic[[#This Row],[SVm]],""),"")</f>
        <v/>
      </c>
      <c r="P84" s="370" t="str">
        <f ca="1">IF($B$3&lt;&gt;"Passive",IFERROR(IF(ISNUMBER(INDEX(Active[M_NOAEL], 4)),
                          INDEX(Active[M_NOAEL], 4)/O84,""),""),"")</f>
        <v/>
      </c>
      <c r="Q84" s="370" t="str">
        <f>IFERROR(IF(Active5=TRUE,HLOOKUP(Mammal_Chronic[[#This Row],[Crop]],Input_Scenario,15,FALSE)*HLOOKUP(Mammal_Chronic[[#This Row],[Crop]],Input_Scenario,8,FALSE)*Mammal_Chronic[[#This Row],[SVm]],""),"")</f>
        <v/>
      </c>
      <c r="R84" s="370" t="str">
        <f ca="1">IF($B$3&lt;&gt;"Passive",IFERROR(IF(ISNUMBER(INDEX(Active[M_NOAEL], 5)),
                          INDEX(Active[M_NOAEL], 5)/Q84,""),""),"")</f>
        <v/>
      </c>
    </row>
    <row r="85" spans="1:18">
      <c r="A85" s="56"/>
      <c r="B85" s="314" t="str">
        <f t="shared" ca="1" si="0"/>
        <v>No input</v>
      </c>
      <c r="C85" s="72" t="s">
        <v>152</v>
      </c>
      <c r="D85" s="73" t="s">
        <v>108</v>
      </c>
      <c r="E85" s="73" t="s">
        <v>272</v>
      </c>
      <c r="F85" s="113">
        <v>4.2</v>
      </c>
      <c r="G85" s="203" t="str">
        <f ca="1">IF(AND(Mammal_Chronic[[#This Row],[Relevance]]="Input provided", Count&gt;=1),
       IF(M_ChronicScheme="C(mix)",
                 HLOOKUP(Mammal_Chronic[[#This Row],[Crop]], Input_Scenario,10,FALSE)*Mammal_Chronic[[#This Row],[SVm]]*HLOOKUP(Mammal_Chronic[[#This Row],[Crop]],Input_Scenario,8,FALSE),""),"")</f>
        <v/>
      </c>
      <c r="H85" s="368" t="str">
        <f t="shared" si="1"/>
        <v/>
      </c>
      <c r="I85" s="370" t="str">
        <f>IFERROR(IF(Active1=TRUE,HLOOKUP(Mammal_Chronic[[#This Row],[Crop]],Input_Scenario,11,FALSE)*HLOOKUP(Mammal_Chronic[[#This Row],[Crop]],Input_Scenario,8,FALSE)*Mammal_Chronic[[#This Row],[SVm]],""),"")</f>
        <v/>
      </c>
      <c r="J85" s="370" t="str">
        <f t="shared" ca="1" si="2"/>
        <v/>
      </c>
      <c r="K85" s="370" t="str">
        <f>IFERROR(IF(Active2=TRUE,HLOOKUP(Mammal_Chronic[[#This Row],[Crop]],Input_Scenario,12,FALSE)*HLOOKUP(Mammal_Chronic[[#This Row],[Crop]],Input_Scenario,8,FALSE)*Mammal_Chronic[[#This Row],[SVm]],""),"")</f>
        <v/>
      </c>
      <c r="L85" s="370" t="str">
        <f ca="1">IF($B$3&lt;&gt;"Passive",IFERROR(IF(ISNUMBER(INDEX(Active[M_NOAEL], 2)),
                          INDEX(Active[M_NOAEL], 2)/K85,""),""),"")</f>
        <v/>
      </c>
      <c r="M85" s="370" t="str">
        <f>IFERROR(IF(Active3=TRUE,HLOOKUP(Mammal_Chronic[[#This Row],[Crop]],Input_Scenario,13,FALSE)*HLOOKUP(Mammal_Chronic[[#This Row],[Crop]],Input_Scenario,8,FALSE)*Mammal_Chronic[[#This Row],[SVm]],""),"")</f>
        <v/>
      </c>
      <c r="N85" s="370" t="str">
        <f ca="1">IF($B$3&lt;&gt;"Passive",IFERROR(IF(ISNUMBER(INDEX(Active[M_NOAEL], 3)),
                          INDEX(Active[M_NOAEL], 3)/M85,""),""),"")</f>
        <v/>
      </c>
      <c r="O85" s="370" t="str">
        <f>IFERROR(IF(Active4=TRUE,HLOOKUP(Mammal_Chronic[[#This Row],[Crop]],Input_Scenario,14,FALSE)*HLOOKUP(Mammal_Chronic[[#This Row],[Crop]],Input_Scenario,8,FALSE)*Mammal_Chronic[[#This Row],[SVm]],""),"")</f>
        <v/>
      </c>
      <c r="P85" s="370" t="str">
        <f ca="1">IF($B$3&lt;&gt;"Passive",IFERROR(IF(ISNUMBER(INDEX(Active[M_NOAEL], 4)),
                          INDEX(Active[M_NOAEL], 4)/O85,""),""),"")</f>
        <v/>
      </c>
      <c r="Q85" s="370" t="str">
        <f>IFERROR(IF(Active5=TRUE,HLOOKUP(Mammal_Chronic[[#This Row],[Crop]],Input_Scenario,15,FALSE)*HLOOKUP(Mammal_Chronic[[#This Row],[Crop]],Input_Scenario,8,FALSE)*Mammal_Chronic[[#This Row],[SVm]],""),"")</f>
        <v/>
      </c>
      <c r="R85" s="370" t="str">
        <f ca="1">IF($B$3&lt;&gt;"Passive",IFERROR(IF(ISNUMBER(INDEX(Active[M_NOAEL], 5)),
                          INDEX(Active[M_NOAEL], 5)/Q85,""),""),"")</f>
        <v/>
      </c>
    </row>
    <row r="86" spans="1:18">
      <c r="A86" s="56"/>
      <c r="B86" s="314" t="str">
        <f t="shared" ca="1" si="0"/>
        <v>No input</v>
      </c>
      <c r="C86" s="72" t="s">
        <v>152</v>
      </c>
      <c r="D86" s="73" t="s">
        <v>111</v>
      </c>
      <c r="E86" s="73" t="s">
        <v>272</v>
      </c>
      <c r="F86" s="113">
        <v>1.9</v>
      </c>
      <c r="G86" s="203" t="str">
        <f ca="1">IF(AND(Mammal_Chronic[[#This Row],[Relevance]]="Input provided", Count&gt;=1),
       IF(M_ChronicScheme="C(mix)",
                 HLOOKUP(Mammal_Chronic[[#This Row],[Crop]], Input_Scenario,10,FALSE)*Mammal_Chronic[[#This Row],[SVm]]*HLOOKUP(Mammal_Chronic[[#This Row],[Crop]],Input_Scenario,8,FALSE),""),"")</f>
        <v/>
      </c>
      <c r="H86" s="368" t="str">
        <f t="shared" si="1"/>
        <v/>
      </c>
      <c r="I86" s="370" t="str">
        <f>IFERROR(IF(Active1=TRUE,HLOOKUP(Mammal_Chronic[[#This Row],[Crop]],Input_Scenario,11,FALSE)*HLOOKUP(Mammal_Chronic[[#This Row],[Crop]],Input_Scenario,8,FALSE)*Mammal_Chronic[[#This Row],[SVm]],""),"")</f>
        <v/>
      </c>
      <c r="J86" s="370" t="str">
        <f t="shared" ca="1" si="2"/>
        <v/>
      </c>
      <c r="K86" s="370" t="str">
        <f>IFERROR(IF(Active2=TRUE,HLOOKUP(Mammal_Chronic[[#This Row],[Crop]],Input_Scenario,12,FALSE)*HLOOKUP(Mammal_Chronic[[#This Row],[Crop]],Input_Scenario,8,FALSE)*Mammal_Chronic[[#This Row],[SVm]],""),"")</f>
        <v/>
      </c>
      <c r="L86" s="370" t="str">
        <f ca="1">IF($B$3&lt;&gt;"Passive",IFERROR(IF(ISNUMBER(INDEX(Active[M_NOAEL], 2)),
                          INDEX(Active[M_NOAEL], 2)/K86,""),""),"")</f>
        <v/>
      </c>
      <c r="M86" s="370" t="str">
        <f>IFERROR(IF(Active3=TRUE,HLOOKUP(Mammal_Chronic[[#This Row],[Crop]],Input_Scenario,13,FALSE)*HLOOKUP(Mammal_Chronic[[#This Row],[Crop]],Input_Scenario,8,FALSE)*Mammal_Chronic[[#This Row],[SVm]],""),"")</f>
        <v/>
      </c>
      <c r="N86" s="370" t="str">
        <f ca="1">IF($B$3&lt;&gt;"Passive",IFERROR(IF(ISNUMBER(INDEX(Active[M_NOAEL], 3)),
                          INDEX(Active[M_NOAEL], 3)/M86,""),""),"")</f>
        <v/>
      </c>
      <c r="O86" s="370" t="str">
        <f>IFERROR(IF(Active4=TRUE,HLOOKUP(Mammal_Chronic[[#This Row],[Crop]],Input_Scenario,14,FALSE)*HLOOKUP(Mammal_Chronic[[#This Row],[Crop]],Input_Scenario,8,FALSE)*Mammal_Chronic[[#This Row],[SVm]],""),"")</f>
        <v/>
      </c>
      <c r="P86" s="370" t="str">
        <f ca="1">IF($B$3&lt;&gt;"Passive",IFERROR(IF(ISNUMBER(INDEX(Active[M_NOAEL], 4)),
                          INDEX(Active[M_NOAEL], 4)/O86,""),""),"")</f>
        <v/>
      </c>
      <c r="Q86" s="370" t="str">
        <f>IFERROR(IF(Active5=TRUE,HLOOKUP(Mammal_Chronic[[#This Row],[Crop]],Input_Scenario,15,FALSE)*HLOOKUP(Mammal_Chronic[[#This Row],[Crop]],Input_Scenario,8,FALSE)*Mammal_Chronic[[#This Row],[SVm]],""),"")</f>
        <v/>
      </c>
      <c r="R86" s="370" t="str">
        <f ca="1">IF($B$3&lt;&gt;"Passive",IFERROR(IF(ISNUMBER(INDEX(Active[M_NOAEL], 5)),
                          INDEX(Active[M_NOAEL], 5)/Q86,""),""),"")</f>
        <v/>
      </c>
    </row>
    <row r="87" spans="1:18">
      <c r="A87" s="56"/>
      <c r="B87" s="314" t="str">
        <f t="shared" ca="1" si="0"/>
        <v>No input</v>
      </c>
      <c r="C87" s="72" t="s">
        <v>152</v>
      </c>
      <c r="D87" s="73" t="s">
        <v>132</v>
      </c>
      <c r="E87" s="73" t="s">
        <v>271</v>
      </c>
      <c r="F87" s="113">
        <v>7.8</v>
      </c>
      <c r="G87" s="203" t="str">
        <f ca="1">IF(AND(Mammal_Chronic[[#This Row],[Relevance]]="Input provided", Count&gt;=1),
       IF(M_ChronicScheme="C(mix)",
                 HLOOKUP(Mammal_Chronic[[#This Row],[Crop]], Input_Scenario,10,FALSE)*Mammal_Chronic[[#This Row],[SVm]]*HLOOKUP(Mammal_Chronic[[#This Row],[Crop]],Input_Scenario,8,FALSE),""),"")</f>
        <v/>
      </c>
      <c r="H87" s="368" t="str">
        <f t="shared" si="1"/>
        <v/>
      </c>
      <c r="I87" s="370" t="str">
        <f>IFERROR(IF(Active1=TRUE,HLOOKUP(Mammal_Chronic[[#This Row],[Crop]],Input_Scenario,11,FALSE)*HLOOKUP(Mammal_Chronic[[#This Row],[Crop]],Input_Scenario,8,FALSE)*Mammal_Chronic[[#This Row],[SVm]],""),"")</f>
        <v/>
      </c>
      <c r="J87" s="370" t="str">
        <f t="shared" ca="1" si="2"/>
        <v/>
      </c>
      <c r="K87" s="370" t="str">
        <f>IFERROR(IF(Active2=TRUE,HLOOKUP(Mammal_Chronic[[#This Row],[Crop]],Input_Scenario,12,FALSE)*HLOOKUP(Mammal_Chronic[[#This Row],[Crop]],Input_Scenario,8,FALSE)*Mammal_Chronic[[#This Row],[SVm]],""),"")</f>
        <v/>
      </c>
      <c r="L87" s="370" t="str">
        <f ca="1">IF($B$3&lt;&gt;"Passive",IFERROR(IF(ISNUMBER(INDEX(Active[M_NOAEL], 2)),
                          INDEX(Active[M_NOAEL], 2)/K87,""),""),"")</f>
        <v/>
      </c>
      <c r="M87" s="370" t="str">
        <f>IFERROR(IF(Active3=TRUE,HLOOKUP(Mammal_Chronic[[#This Row],[Crop]],Input_Scenario,13,FALSE)*HLOOKUP(Mammal_Chronic[[#This Row],[Crop]],Input_Scenario,8,FALSE)*Mammal_Chronic[[#This Row],[SVm]],""),"")</f>
        <v/>
      </c>
      <c r="N87" s="370" t="str">
        <f ca="1">IF($B$3&lt;&gt;"Passive",IFERROR(IF(ISNUMBER(INDEX(Active[M_NOAEL], 3)),
                          INDEX(Active[M_NOAEL], 3)/M87,""),""),"")</f>
        <v/>
      </c>
      <c r="O87" s="370" t="str">
        <f>IFERROR(IF(Active4=TRUE,HLOOKUP(Mammal_Chronic[[#This Row],[Crop]],Input_Scenario,14,FALSE)*HLOOKUP(Mammal_Chronic[[#This Row],[Crop]],Input_Scenario,8,FALSE)*Mammal_Chronic[[#This Row],[SVm]],""),"")</f>
        <v/>
      </c>
      <c r="P87" s="370" t="str">
        <f ca="1">IF($B$3&lt;&gt;"Passive",IFERROR(IF(ISNUMBER(INDEX(Active[M_NOAEL], 4)),
                          INDEX(Active[M_NOAEL], 4)/O87,""),""),"")</f>
        <v/>
      </c>
      <c r="Q87" s="370" t="str">
        <f>IFERROR(IF(Active5=TRUE,HLOOKUP(Mammal_Chronic[[#This Row],[Crop]],Input_Scenario,15,FALSE)*HLOOKUP(Mammal_Chronic[[#This Row],[Crop]],Input_Scenario,8,FALSE)*Mammal_Chronic[[#This Row],[SVm]],""),"")</f>
        <v/>
      </c>
      <c r="R87" s="370" t="str">
        <f ca="1">IF($B$3&lt;&gt;"Passive",IFERROR(IF(ISNUMBER(INDEX(Active[M_NOAEL], 5)),
                          INDEX(Active[M_NOAEL], 5)/Q87,""),""),"")</f>
        <v/>
      </c>
    </row>
    <row r="88" spans="1:18">
      <c r="A88" s="56"/>
      <c r="B88" s="314" t="str">
        <f t="shared" ca="1" si="0"/>
        <v>No input</v>
      </c>
      <c r="C88" s="72" t="s">
        <v>152</v>
      </c>
      <c r="D88" s="73" t="s">
        <v>257</v>
      </c>
      <c r="E88" s="73" t="s">
        <v>273</v>
      </c>
      <c r="F88" s="113">
        <v>72.3</v>
      </c>
      <c r="G88" s="203" t="str">
        <f ca="1">IF(AND(Mammal_Chronic[[#This Row],[Relevance]]="Input provided", Count&gt;=1),
       IF(M_ChronicScheme="C(mix)",
                 HLOOKUP(Mammal_Chronic[[#This Row],[Crop]], Input_Scenario,10,FALSE)*Mammal_Chronic[[#This Row],[SVm]]*HLOOKUP(Mammal_Chronic[[#This Row],[Crop]],Input_Scenario,8,FALSE),""),"")</f>
        <v/>
      </c>
      <c r="H88" s="368" t="str">
        <f t="shared" si="1"/>
        <v/>
      </c>
      <c r="I88" s="370" t="str">
        <f>IFERROR(IF(Active1=TRUE,HLOOKUP(Mammal_Chronic[[#This Row],[Crop]],Input_Scenario,11,FALSE)*HLOOKUP(Mammal_Chronic[[#This Row],[Crop]],Input_Scenario,8,FALSE)*Mammal_Chronic[[#This Row],[SVm]],""),"")</f>
        <v/>
      </c>
      <c r="J88" s="370" t="str">
        <f t="shared" ca="1" si="2"/>
        <v/>
      </c>
      <c r="K88" s="370" t="str">
        <f>IFERROR(IF(Active2=TRUE,HLOOKUP(Mammal_Chronic[[#This Row],[Crop]],Input_Scenario,12,FALSE)*HLOOKUP(Mammal_Chronic[[#This Row],[Crop]],Input_Scenario,8,FALSE)*Mammal_Chronic[[#This Row],[SVm]],""),"")</f>
        <v/>
      </c>
      <c r="L88" s="370" t="str">
        <f ca="1">IF($B$3&lt;&gt;"Passive",IFERROR(IF(ISNUMBER(INDEX(Active[M_NOAEL], 2)),
                          INDEX(Active[M_NOAEL], 2)/K88,""),""),"")</f>
        <v/>
      </c>
      <c r="M88" s="370" t="str">
        <f>IFERROR(IF(Active3=TRUE,HLOOKUP(Mammal_Chronic[[#This Row],[Crop]],Input_Scenario,13,FALSE)*HLOOKUP(Mammal_Chronic[[#This Row],[Crop]],Input_Scenario,8,FALSE)*Mammal_Chronic[[#This Row],[SVm]],""),"")</f>
        <v/>
      </c>
      <c r="N88" s="370" t="str">
        <f ca="1">IF($B$3&lt;&gt;"Passive",IFERROR(IF(ISNUMBER(INDEX(Active[M_NOAEL], 3)),
                          INDEX(Active[M_NOAEL], 3)/M88,""),""),"")</f>
        <v/>
      </c>
      <c r="O88" s="370" t="str">
        <f>IFERROR(IF(Active4=TRUE,HLOOKUP(Mammal_Chronic[[#This Row],[Crop]],Input_Scenario,14,FALSE)*HLOOKUP(Mammal_Chronic[[#This Row],[Crop]],Input_Scenario,8,FALSE)*Mammal_Chronic[[#This Row],[SVm]],""),"")</f>
        <v/>
      </c>
      <c r="P88" s="370" t="str">
        <f ca="1">IF($B$3&lt;&gt;"Passive",IFERROR(IF(ISNUMBER(INDEX(Active[M_NOAEL], 4)),
                          INDEX(Active[M_NOAEL], 4)/O88,""),""),"")</f>
        <v/>
      </c>
      <c r="Q88" s="370" t="str">
        <f>IFERROR(IF(Active5=TRUE,HLOOKUP(Mammal_Chronic[[#This Row],[Crop]],Input_Scenario,15,FALSE)*HLOOKUP(Mammal_Chronic[[#This Row],[Crop]],Input_Scenario,8,FALSE)*Mammal_Chronic[[#This Row],[SVm]],""),"")</f>
        <v/>
      </c>
      <c r="R88" s="370" t="str">
        <f ca="1">IF($B$3&lt;&gt;"Passive",IFERROR(IF(ISNUMBER(INDEX(Active[M_NOAEL], 5)),
                          INDEX(Active[M_NOAEL], 5)/Q88,""),""),"")</f>
        <v/>
      </c>
    </row>
    <row r="89" spans="1:18">
      <c r="A89" s="56"/>
      <c r="B89" s="314" t="str">
        <f t="shared" ca="1" si="0"/>
        <v>No input</v>
      </c>
      <c r="C89" s="72" t="s">
        <v>152</v>
      </c>
      <c r="D89" s="73" t="s">
        <v>153</v>
      </c>
      <c r="E89" s="73" t="s">
        <v>275</v>
      </c>
      <c r="F89" s="113">
        <v>14.3</v>
      </c>
      <c r="G89" s="203" t="str">
        <f ca="1">IF(AND(Mammal_Chronic[[#This Row],[Relevance]]="Input provided", Count&gt;=1),
       IF(M_ChronicScheme="C(mix)",
                 HLOOKUP(Mammal_Chronic[[#This Row],[Crop]], Input_Scenario,10,FALSE)*Mammal_Chronic[[#This Row],[SVm]]*HLOOKUP(Mammal_Chronic[[#This Row],[Crop]],Input_Scenario,8,FALSE),""),"")</f>
        <v/>
      </c>
      <c r="H89" s="368" t="str">
        <f t="shared" si="1"/>
        <v/>
      </c>
      <c r="I89" s="370" t="str">
        <f>IFERROR(IF(Active1=TRUE,HLOOKUP(Mammal_Chronic[[#This Row],[Crop]],Input_Scenario,11,FALSE)*HLOOKUP(Mammal_Chronic[[#This Row],[Crop]],Input_Scenario,8,FALSE)*Mammal_Chronic[[#This Row],[SVm]],""),"")</f>
        <v/>
      </c>
      <c r="J89" s="370" t="str">
        <f t="shared" ca="1" si="2"/>
        <v/>
      </c>
      <c r="K89" s="370" t="str">
        <f>IFERROR(IF(Active2=TRUE,HLOOKUP(Mammal_Chronic[[#This Row],[Crop]],Input_Scenario,12,FALSE)*HLOOKUP(Mammal_Chronic[[#This Row],[Crop]],Input_Scenario,8,FALSE)*Mammal_Chronic[[#This Row],[SVm]],""),"")</f>
        <v/>
      </c>
      <c r="L89" s="370" t="str">
        <f ca="1">IF($B$3&lt;&gt;"Passive",IFERROR(IF(ISNUMBER(INDEX(Active[M_NOAEL], 2)),
                          INDEX(Active[M_NOAEL], 2)/K89,""),""),"")</f>
        <v/>
      </c>
      <c r="M89" s="370" t="str">
        <f>IFERROR(IF(Active3=TRUE,HLOOKUP(Mammal_Chronic[[#This Row],[Crop]],Input_Scenario,13,FALSE)*HLOOKUP(Mammal_Chronic[[#This Row],[Crop]],Input_Scenario,8,FALSE)*Mammal_Chronic[[#This Row],[SVm]],""),"")</f>
        <v/>
      </c>
      <c r="N89" s="370" t="str">
        <f ca="1">IF($B$3&lt;&gt;"Passive",IFERROR(IF(ISNUMBER(INDEX(Active[M_NOAEL], 3)),
                          INDEX(Active[M_NOAEL], 3)/M89,""),""),"")</f>
        <v/>
      </c>
      <c r="O89" s="370" t="str">
        <f>IFERROR(IF(Active4=TRUE,HLOOKUP(Mammal_Chronic[[#This Row],[Crop]],Input_Scenario,14,FALSE)*HLOOKUP(Mammal_Chronic[[#This Row],[Crop]],Input_Scenario,8,FALSE)*Mammal_Chronic[[#This Row],[SVm]],""),"")</f>
        <v/>
      </c>
      <c r="P89" s="370" t="str">
        <f ca="1">IF($B$3&lt;&gt;"Passive",IFERROR(IF(ISNUMBER(INDEX(Active[M_NOAEL], 4)),
                          INDEX(Active[M_NOAEL], 4)/O89,""),""),"")</f>
        <v/>
      </c>
      <c r="Q89" s="370" t="str">
        <f>IFERROR(IF(Active5=TRUE,HLOOKUP(Mammal_Chronic[[#This Row],[Crop]],Input_Scenario,15,FALSE)*HLOOKUP(Mammal_Chronic[[#This Row],[Crop]],Input_Scenario,8,FALSE)*Mammal_Chronic[[#This Row],[SVm]],""),"")</f>
        <v/>
      </c>
      <c r="R89" s="370" t="str">
        <f ca="1">IF($B$3&lt;&gt;"Passive",IFERROR(IF(ISNUMBER(INDEX(Active[M_NOAEL], 5)),
                          INDEX(Active[M_NOAEL], 5)/Q89,""),""),"")</f>
        <v/>
      </c>
    </row>
    <row r="90" spans="1:18">
      <c r="A90" s="56"/>
      <c r="B90" s="314" t="str">
        <f t="shared" ca="1" si="0"/>
        <v>No input</v>
      </c>
      <c r="C90" s="72" t="s">
        <v>152</v>
      </c>
      <c r="D90" s="73" t="s">
        <v>134</v>
      </c>
      <c r="E90" s="73" t="s">
        <v>273</v>
      </c>
      <c r="F90" s="113">
        <v>21.7</v>
      </c>
      <c r="G90" s="203" t="str">
        <f ca="1">IF(AND(Mammal_Chronic[[#This Row],[Relevance]]="Input provided", Count&gt;=1),
       IF(M_ChronicScheme="C(mix)",
                 HLOOKUP(Mammal_Chronic[[#This Row],[Crop]], Input_Scenario,10,FALSE)*Mammal_Chronic[[#This Row],[SVm]]*HLOOKUP(Mammal_Chronic[[#This Row],[Crop]],Input_Scenario,8,FALSE),""),"")</f>
        <v/>
      </c>
      <c r="H90" s="368" t="str">
        <f t="shared" si="1"/>
        <v/>
      </c>
      <c r="I90" s="370" t="str">
        <f>IFERROR(IF(Active1=TRUE,HLOOKUP(Mammal_Chronic[[#This Row],[Crop]],Input_Scenario,11,FALSE)*HLOOKUP(Mammal_Chronic[[#This Row],[Crop]],Input_Scenario,8,FALSE)*Mammal_Chronic[[#This Row],[SVm]],""),"")</f>
        <v/>
      </c>
      <c r="J90" s="370" t="str">
        <f t="shared" ca="1" si="2"/>
        <v/>
      </c>
      <c r="K90" s="370" t="str">
        <f>IFERROR(IF(Active2=TRUE,HLOOKUP(Mammal_Chronic[[#This Row],[Crop]],Input_Scenario,12,FALSE)*HLOOKUP(Mammal_Chronic[[#This Row],[Crop]],Input_Scenario,8,FALSE)*Mammal_Chronic[[#This Row],[SVm]],""),"")</f>
        <v/>
      </c>
      <c r="L90" s="370" t="str">
        <f ca="1">IF($B$3&lt;&gt;"Passive",IFERROR(IF(ISNUMBER(INDEX(Active[M_NOAEL], 2)),
                          INDEX(Active[M_NOAEL], 2)/K90,""),""),"")</f>
        <v/>
      </c>
      <c r="M90" s="370" t="str">
        <f>IFERROR(IF(Active3=TRUE,HLOOKUP(Mammal_Chronic[[#This Row],[Crop]],Input_Scenario,13,FALSE)*HLOOKUP(Mammal_Chronic[[#This Row],[Crop]],Input_Scenario,8,FALSE)*Mammal_Chronic[[#This Row],[SVm]],""),"")</f>
        <v/>
      </c>
      <c r="N90" s="370" t="str">
        <f ca="1">IF($B$3&lt;&gt;"Passive",IFERROR(IF(ISNUMBER(INDEX(Active[M_NOAEL], 3)),
                          INDEX(Active[M_NOAEL], 3)/M90,""),""),"")</f>
        <v/>
      </c>
      <c r="O90" s="370" t="str">
        <f>IFERROR(IF(Active4=TRUE,HLOOKUP(Mammal_Chronic[[#This Row],[Crop]],Input_Scenario,14,FALSE)*HLOOKUP(Mammal_Chronic[[#This Row],[Crop]],Input_Scenario,8,FALSE)*Mammal_Chronic[[#This Row],[SVm]],""),"")</f>
        <v/>
      </c>
      <c r="P90" s="370" t="str">
        <f ca="1">IF($B$3&lt;&gt;"Passive",IFERROR(IF(ISNUMBER(INDEX(Active[M_NOAEL], 4)),
                          INDEX(Active[M_NOAEL], 4)/O90,""),""),"")</f>
        <v/>
      </c>
      <c r="Q90" s="370" t="str">
        <f>IFERROR(IF(Active5=TRUE,HLOOKUP(Mammal_Chronic[[#This Row],[Crop]],Input_Scenario,15,FALSE)*HLOOKUP(Mammal_Chronic[[#This Row],[Crop]],Input_Scenario,8,FALSE)*Mammal_Chronic[[#This Row],[SVm]],""),"")</f>
        <v/>
      </c>
      <c r="R90" s="370" t="str">
        <f ca="1">IF($B$3&lt;&gt;"Passive",IFERROR(IF(ISNUMBER(INDEX(Active[M_NOAEL], 5)),
                          INDEX(Active[M_NOAEL], 5)/Q90,""),""),"")</f>
        <v/>
      </c>
    </row>
    <row r="91" spans="1:18">
      <c r="A91" s="56"/>
      <c r="B91" s="314" t="str">
        <f t="shared" ca="1" si="0"/>
        <v>No input</v>
      </c>
      <c r="C91" s="72" t="s">
        <v>152</v>
      </c>
      <c r="D91" s="73" t="s">
        <v>134</v>
      </c>
      <c r="E91" s="73" t="s">
        <v>271</v>
      </c>
      <c r="F91" s="113">
        <v>2.2999999999999998</v>
      </c>
      <c r="G91" s="203" t="str">
        <f ca="1">IF(AND(Mammal_Chronic[[#This Row],[Relevance]]="Input provided", Count&gt;=1),
       IF(M_ChronicScheme="C(mix)",
                 HLOOKUP(Mammal_Chronic[[#This Row],[Crop]], Input_Scenario,10,FALSE)*Mammal_Chronic[[#This Row],[SVm]]*HLOOKUP(Mammal_Chronic[[#This Row],[Crop]],Input_Scenario,8,FALSE),""),"")</f>
        <v/>
      </c>
      <c r="H91" s="368" t="str">
        <f t="shared" si="1"/>
        <v/>
      </c>
      <c r="I91" s="370" t="str">
        <f>IFERROR(IF(Active1=TRUE,HLOOKUP(Mammal_Chronic[[#This Row],[Crop]],Input_Scenario,11,FALSE)*HLOOKUP(Mammal_Chronic[[#This Row],[Crop]],Input_Scenario,8,FALSE)*Mammal_Chronic[[#This Row],[SVm]],""),"")</f>
        <v/>
      </c>
      <c r="J91" s="370" t="str">
        <f t="shared" ca="1" si="2"/>
        <v/>
      </c>
      <c r="K91" s="370" t="str">
        <f>IFERROR(IF(Active2=TRUE,HLOOKUP(Mammal_Chronic[[#This Row],[Crop]],Input_Scenario,12,FALSE)*HLOOKUP(Mammal_Chronic[[#This Row],[Crop]],Input_Scenario,8,FALSE)*Mammal_Chronic[[#This Row],[SVm]],""),"")</f>
        <v/>
      </c>
      <c r="L91" s="370" t="str">
        <f ca="1">IF($B$3&lt;&gt;"Passive",IFERROR(IF(ISNUMBER(INDEX(Active[M_NOAEL], 2)),
                          INDEX(Active[M_NOAEL], 2)/K91,""),""),"")</f>
        <v/>
      </c>
      <c r="M91" s="370" t="str">
        <f>IFERROR(IF(Active3=TRUE,HLOOKUP(Mammal_Chronic[[#This Row],[Crop]],Input_Scenario,13,FALSE)*HLOOKUP(Mammal_Chronic[[#This Row],[Crop]],Input_Scenario,8,FALSE)*Mammal_Chronic[[#This Row],[SVm]],""),"")</f>
        <v/>
      </c>
      <c r="N91" s="370" t="str">
        <f ca="1">IF($B$3&lt;&gt;"Passive",IFERROR(IF(ISNUMBER(INDEX(Active[M_NOAEL], 3)),
                          INDEX(Active[M_NOAEL], 3)/M91,""),""),"")</f>
        <v/>
      </c>
      <c r="O91" s="370" t="str">
        <f>IFERROR(IF(Active4=TRUE,HLOOKUP(Mammal_Chronic[[#This Row],[Crop]],Input_Scenario,14,FALSE)*HLOOKUP(Mammal_Chronic[[#This Row],[Crop]],Input_Scenario,8,FALSE)*Mammal_Chronic[[#This Row],[SVm]],""),"")</f>
        <v/>
      </c>
      <c r="P91" s="370" t="str">
        <f ca="1">IF($B$3&lt;&gt;"Passive",IFERROR(IF(ISNUMBER(INDEX(Active[M_NOAEL], 4)),
                          INDEX(Active[M_NOAEL], 4)/O91,""),""),"")</f>
        <v/>
      </c>
      <c r="Q91" s="370" t="str">
        <f>IFERROR(IF(Active5=TRUE,HLOOKUP(Mammal_Chronic[[#This Row],[Crop]],Input_Scenario,15,FALSE)*HLOOKUP(Mammal_Chronic[[#This Row],[Crop]],Input_Scenario,8,FALSE)*Mammal_Chronic[[#This Row],[SVm]],""),"")</f>
        <v/>
      </c>
      <c r="R91" s="370" t="str">
        <f ca="1">IF($B$3&lt;&gt;"Passive",IFERROR(IF(ISNUMBER(INDEX(Active[M_NOAEL], 5)),
                          INDEX(Active[M_NOAEL], 5)/Q91,""),""),"")</f>
        <v/>
      </c>
    </row>
    <row r="92" spans="1:18">
      <c r="A92" s="56"/>
      <c r="B92" s="314" t="str">
        <f t="shared" ca="1" si="0"/>
        <v>No input</v>
      </c>
      <c r="C92" s="72" t="s">
        <v>154</v>
      </c>
      <c r="D92" s="73" t="s">
        <v>108</v>
      </c>
      <c r="E92" s="73" t="s">
        <v>272</v>
      </c>
      <c r="F92" s="113">
        <v>4.2</v>
      </c>
      <c r="G92" s="203" t="str">
        <f ca="1">IF(AND(Mammal_Chronic[[#This Row],[Relevance]]="Input provided", Count&gt;=1),
       IF(M_ChronicScheme="C(mix)",
                 HLOOKUP(Mammal_Chronic[[#This Row],[Crop]], Input_Scenario,10,FALSE)*Mammal_Chronic[[#This Row],[SVm]]*HLOOKUP(Mammal_Chronic[[#This Row],[Crop]],Input_Scenario,8,FALSE),""),"")</f>
        <v/>
      </c>
      <c r="H92" s="368" t="str">
        <f t="shared" si="1"/>
        <v/>
      </c>
      <c r="I92" s="370" t="str">
        <f>IFERROR(IF(Active1=TRUE,HLOOKUP(Mammal_Chronic[[#This Row],[Crop]],Input_Scenario,11,FALSE)*HLOOKUP(Mammal_Chronic[[#This Row],[Crop]],Input_Scenario,8,FALSE)*Mammal_Chronic[[#This Row],[SVm]],""),"")</f>
        <v/>
      </c>
      <c r="J92" s="370" t="str">
        <f t="shared" ca="1" si="2"/>
        <v/>
      </c>
      <c r="K92" s="370" t="str">
        <f>IFERROR(IF(Active2=TRUE,HLOOKUP(Mammal_Chronic[[#This Row],[Crop]],Input_Scenario,12,FALSE)*HLOOKUP(Mammal_Chronic[[#This Row],[Crop]],Input_Scenario,8,FALSE)*Mammal_Chronic[[#This Row],[SVm]],""),"")</f>
        <v/>
      </c>
      <c r="L92" s="370" t="str">
        <f ca="1">IF($B$3&lt;&gt;"Passive",IFERROR(IF(ISNUMBER(INDEX(Active[M_NOAEL], 2)),
                          INDEX(Active[M_NOAEL], 2)/K92,""),""),"")</f>
        <v/>
      </c>
      <c r="M92" s="370" t="str">
        <f>IFERROR(IF(Active3=TRUE,HLOOKUP(Mammal_Chronic[[#This Row],[Crop]],Input_Scenario,13,FALSE)*HLOOKUP(Mammal_Chronic[[#This Row],[Crop]],Input_Scenario,8,FALSE)*Mammal_Chronic[[#This Row],[SVm]],""),"")</f>
        <v/>
      </c>
      <c r="N92" s="370" t="str">
        <f ca="1">IF($B$3&lt;&gt;"Passive",IFERROR(IF(ISNUMBER(INDEX(Active[M_NOAEL], 3)),
                          INDEX(Active[M_NOAEL], 3)/M92,""),""),"")</f>
        <v/>
      </c>
      <c r="O92" s="370" t="str">
        <f>IFERROR(IF(Active4=TRUE,HLOOKUP(Mammal_Chronic[[#This Row],[Crop]],Input_Scenario,14,FALSE)*HLOOKUP(Mammal_Chronic[[#This Row],[Crop]],Input_Scenario,8,FALSE)*Mammal_Chronic[[#This Row],[SVm]],""),"")</f>
        <v/>
      </c>
      <c r="P92" s="370" t="str">
        <f ca="1">IF($B$3&lt;&gt;"Passive",IFERROR(IF(ISNUMBER(INDEX(Active[M_NOAEL], 4)),
                          INDEX(Active[M_NOAEL], 4)/O92,""),""),"")</f>
        <v/>
      </c>
      <c r="Q92" s="370" t="str">
        <f>IFERROR(IF(Active5=TRUE,HLOOKUP(Mammal_Chronic[[#This Row],[Crop]],Input_Scenario,15,FALSE)*HLOOKUP(Mammal_Chronic[[#This Row],[Crop]],Input_Scenario,8,FALSE)*Mammal_Chronic[[#This Row],[SVm]],""),"")</f>
        <v/>
      </c>
      <c r="R92" s="370" t="str">
        <f ca="1">IF($B$3&lt;&gt;"Passive",IFERROR(IF(ISNUMBER(INDEX(Active[M_NOAEL], 5)),
                          INDEX(Active[M_NOAEL], 5)/Q92,""),""),"")</f>
        <v/>
      </c>
    </row>
    <row r="93" spans="1:18">
      <c r="A93" s="56"/>
      <c r="B93" s="314" t="str">
        <f t="shared" ca="1" si="0"/>
        <v>No input</v>
      </c>
      <c r="C93" s="72" t="s">
        <v>154</v>
      </c>
      <c r="D93" s="73" t="s">
        <v>119</v>
      </c>
      <c r="E93" s="73" t="s">
        <v>277</v>
      </c>
      <c r="F93" s="113">
        <v>7.8</v>
      </c>
      <c r="G93" s="203" t="str">
        <f ca="1">IF(AND(Mammal_Chronic[[#This Row],[Relevance]]="Input provided", Count&gt;=1),
       IF(M_ChronicScheme="C(mix)",
                 HLOOKUP(Mammal_Chronic[[#This Row],[Crop]], Input_Scenario,10,FALSE)*Mammal_Chronic[[#This Row],[SVm]]*HLOOKUP(Mammal_Chronic[[#This Row],[Crop]],Input_Scenario,8,FALSE),""),"")</f>
        <v/>
      </c>
      <c r="H93" s="368" t="str">
        <f t="shared" si="1"/>
        <v/>
      </c>
      <c r="I93" s="370" t="str">
        <f>IFERROR(IF(Active1=TRUE,HLOOKUP(Mammal_Chronic[[#This Row],[Crop]],Input_Scenario,11,FALSE)*HLOOKUP(Mammal_Chronic[[#This Row],[Crop]],Input_Scenario,8,FALSE)*Mammal_Chronic[[#This Row],[SVm]],""),"")</f>
        <v/>
      </c>
      <c r="J93" s="370" t="str">
        <f t="shared" ca="1" si="2"/>
        <v/>
      </c>
      <c r="K93" s="370" t="str">
        <f>IFERROR(IF(Active2=TRUE,HLOOKUP(Mammal_Chronic[[#This Row],[Crop]],Input_Scenario,12,FALSE)*HLOOKUP(Mammal_Chronic[[#This Row],[Crop]],Input_Scenario,8,FALSE)*Mammal_Chronic[[#This Row],[SVm]],""),"")</f>
        <v/>
      </c>
      <c r="L93" s="370" t="str">
        <f ca="1">IF($B$3&lt;&gt;"Passive",IFERROR(IF(ISNUMBER(INDEX(Active[M_NOAEL], 2)),
                          INDEX(Active[M_NOAEL], 2)/K93,""),""),"")</f>
        <v/>
      </c>
      <c r="M93" s="370" t="str">
        <f>IFERROR(IF(Active3=TRUE,HLOOKUP(Mammal_Chronic[[#This Row],[Crop]],Input_Scenario,13,FALSE)*HLOOKUP(Mammal_Chronic[[#This Row],[Crop]],Input_Scenario,8,FALSE)*Mammal_Chronic[[#This Row],[SVm]],""),"")</f>
        <v/>
      </c>
      <c r="N93" s="370" t="str">
        <f ca="1">IF($B$3&lt;&gt;"Passive",IFERROR(IF(ISNUMBER(INDEX(Active[M_NOAEL], 3)),
                          INDEX(Active[M_NOAEL], 3)/M93,""),""),"")</f>
        <v/>
      </c>
      <c r="O93" s="370" t="str">
        <f>IFERROR(IF(Active4=TRUE,HLOOKUP(Mammal_Chronic[[#This Row],[Crop]],Input_Scenario,14,FALSE)*HLOOKUP(Mammal_Chronic[[#This Row],[Crop]],Input_Scenario,8,FALSE)*Mammal_Chronic[[#This Row],[SVm]],""),"")</f>
        <v/>
      </c>
      <c r="P93" s="370" t="str">
        <f ca="1">IF($B$3&lt;&gt;"Passive",IFERROR(IF(ISNUMBER(INDEX(Active[M_NOAEL], 4)),
                          INDEX(Active[M_NOAEL], 4)/O93,""),""),"")</f>
        <v/>
      </c>
      <c r="Q93" s="370" t="str">
        <f>IFERROR(IF(Active5=TRUE,HLOOKUP(Mammal_Chronic[[#This Row],[Crop]],Input_Scenario,15,FALSE)*HLOOKUP(Mammal_Chronic[[#This Row],[Crop]],Input_Scenario,8,FALSE)*Mammal_Chronic[[#This Row],[SVm]],""),"")</f>
        <v/>
      </c>
      <c r="R93" s="370" t="str">
        <f ca="1">IF($B$3&lt;&gt;"Passive",IFERROR(IF(ISNUMBER(INDEX(Active[M_NOAEL], 5)),
                          INDEX(Active[M_NOAEL], 5)/Q93,""),""),"")</f>
        <v/>
      </c>
    </row>
    <row r="94" spans="1:18">
      <c r="A94" s="56"/>
      <c r="B94" s="314" t="str">
        <f t="shared" ca="1" si="0"/>
        <v>No input</v>
      </c>
      <c r="C94" s="72" t="s">
        <v>154</v>
      </c>
      <c r="D94" s="73" t="s">
        <v>119</v>
      </c>
      <c r="E94" s="73" t="s">
        <v>273</v>
      </c>
      <c r="F94" s="113">
        <v>72.3</v>
      </c>
      <c r="G94" s="203" t="str">
        <f ca="1">IF(AND(Mammal_Chronic[[#This Row],[Relevance]]="Input provided", Count&gt;=1),
       IF(M_ChronicScheme="C(mix)",
                 HLOOKUP(Mammal_Chronic[[#This Row],[Crop]], Input_Scenario,10,FALSE)*Mammal_Chronic[[#This Row],[SVm]]*HLOOKUP(Mammal_Chronic[[#This Row],[Crop]],Input_Scenario,8,FALSE),""),"")</f>
        <v/>
      </c>
      <c r="H94" s="368" t="str">
        <f t="shared" si="1"/>
        <v/>
      </c>
      <c r="I94" s="370" t="str">
        <f>IFERROR(IF(Active1=TRUE,HLOOKUP(Mammal_Chronic[[#This Row],[Crop]],Input_Scenario,11,FALSE)*HLOOKUP(Mammal_Chronic[[#This Row],[Crop]],Input_Scenario,8,FALSE)*Mammal_Chronic[[#This Row],[SVm]],""),"")</f>
        <v/>
      </c>
      <c r="J94" s="370" t="str">
        <f t="shared" ca="1" si="2"/>
        <v/>
      </c>
      <c r="K94" s="370" t="str">
        <f>IFERROR(IF(Active2=TRUE,HLOOKUP(Mammal_Chronic[[#This Row],[Crop]],Input_Scenario,12,FALSE)*HLOOKUP(Mammal_Chronic[[#This Row],[Crop]],Input_Scenario,8,FALSE)*Mammal_Chronic[[#This Row],[SVm]],""),"")</f>
        <v/>
      </c>
      <c r="L94" s="370" t="str">
        <f ca="1">IF($B$3&lt;&gt;"Passive",IFERROR(IF(ISNUMBER(INDEX(Active[M_NOAEL], 2)),
                          INDEX(Active[M_NOAEL], 2)/K94,""),""),"")</f>
        <v/>
      </c>
      <c r="M94" s="370" t="str">
        <f>IFERROR(IF(Active3=TRUE,HLOOKUP(Mammal_Chronic[[#This Row],[Crop]],Input_Scenario,13,FALSE)*HLOOKUP(Mammal_Chronic[[#This Row],[Crop]],Input_Scenario,8,FALSE)*Mammal_Chronic[[#This Row],[SVm]],""),"")</f>
        <v/>
      </c>
      <c r="N94" s="370" t="str">
        <f ca="1">IF($B$3&lt;&gt;"Passive",IFERROR(IF(ISNUMBER(INDEX(Active[M_NOAEL], 3)),
                          INDEX(Active[M_NOAEL], 3)/M94,""),""),"")</f>
        <v/>
      </c>
      <c r="O94" s="370" t="str">
        <f>IFERROR(IF(Active4=TRUE,HLOOKUP(Mammal_Chronic[[#This Row],[Crop]],Input_Scenario,14,FALSE)*HLOOKUP(Mammal_Chronic[[#This Row],[Crop]],Input_Scenario,8,FALSE)*Mammal_Chronic[[#This Row],[SVm]],""),"")</f>
        <v/>
      </c>
      <c r="P94" s="370" t="str">
        <f ca="1">IF($B$3&lt;&gt;"Passive",IFERROR(IF(ISNUMBER(INDEX(Active[M_NOAEL], 4)),
                          INDEX(Active[M_NOAEL], 4)/O94,""),""),"")</f>
        <v/>
      </c>
      <c r="Q94" s="370" t="str">
        <f>IFERROR(IF(Active5=TRUE,HLOOKUP(Mammal_Chronic[[#This Row],[Crop]],Input_Scenario,15,FALSE)*HLOOKUP(Mammal_Chronic[[#This Row],[Crop]],Input_Scenario,8,FALSE)*Mammal_Chronic[[#This Row],[SVm]],""),"")</f>
        <v/>
      </c>
      <c r="R94" s="370" t="str">
        <f ca="1">IF($B$3&lt;&gt;"Passive",IFERROR(IF(ISNUMBER(INDEX(Active[M_NOAEL], 5)),
                          INDEX(Active[M_NOAEL], 5)/Q94,""),""),"")</f>
        <v/>
      </c>
    </row>
    <row r="95" spans="1:18">
      <c r="A95" s="56"/>
      <c r="B95" s="314" t="str">
        <f t="shared" ca="1" si="0"/>
        <v>No input</v>
      </c>
      <c r="C95" s="72" t="s">
        <v>154</v>
      </c>
      <c r="D95" s="73" t="s">
        <v>111</v>
      </c>
      <c r="E95" s="73" t="s">
        <v>272</v>
      </c>
      <c r="F95" s="113">
        <v>1.9</v>
      </c>
      <c r="G95" s="203" t="str">
        <f ca="1">IF(AND(Mammal_Chronic[[#This Row],[Relevance]]="Input provided", Count&gt;=1),
       IF(M_ChronicScheme="C(mix)",
                 HLOOKUP(Mammal_Chronic[[#This Row],[Crop]], Input_Scenario,10,FALSE)*Mammal_Chronic[[#This Row],[SVm]]*HLOOKUP(Mammal_Chronic[[#This Row],[Crop]],Input_Scenario,8,FALSE),""),"")</f>
        <v/>
      </c>
      <c r="H95" s="368" t="str">
        <f t="shared" si="1"/>
        <v/>
      </c>
      <c r="I95" s="370" t="str">
        <f>IFERROR(IF(Active1=TRUE,HLOOKUP(Mammal_Chronic[[#This Row],[Crop]],Input_Scenario,11,FALSE)*HLOOKUP(Mammal_Chronic[[#This Row],[Crop]],Input_Scenario,8,FALSE)*Mammal_Chronic[[#This Row],[SVm]],""),"")</f>
        <v/>
      </c>
      <c r="J95" s="370" t="str">
        <f t="shared" ca="1" si="2"/>
        <v/>
      </c>
      <c r="K95" s="370" t="str">
        <f>IFERROR(IF(Active2=TRUE,HLOOKUP(Mammal_Chronic[[#This Row],[Crop]],Input_Scenario,12,FALSE)*HLOOKUP(Mammal_Chronic[[#This Row],[Crop]],Input_Scenario,8,FALSE)*Mammal_Chronic[[#This Row],[SVm]],""),"")</f>
        <v/>
      </c>
      <c r="L95" s="370" t="str">
        <f ca="1">IF($B$3&lt;&gt;"Passive",IFERROR(IF(ISNUMBER(INDEX(Active[M_NOAEL], 2)),
                          INDEX(Active[M_NOAEL], 2)/K95,""),""),"")</f>
        <v/>
      </c>
      <c r="M95" s="370" t="str">
        <f>IFERROR(IF(Active3=TRUE,HLOOKUP(Mammal_Chronic[[#This Row],[Crop]],Input_Scenario,13,FALSE)*HLOOKUP(Mammal_Chronic[[#This Row],[Crop]],Input_Scenario,8,FALSE)*Mammal_Chronic[[#This Row],[SVm]],""),"")</f>
        <v/>
      </c>
      <c r="N95" s="370" t="str">
        <f ca="1">IF($B$3&lt;&gt;"Passive",IFERROR(IF(ISNUMBER(INDEX(Active[M_NOAEL], 3)),
                          INDEX(Active[M_NOAEL], 3)/M95,""),""),"")</f>
        <v/>
      </c>
      <c r="O95" s="370" t="str">
        <f>IFERROR(IF(Active4=TRUE,HLOOKUP(Mammal_Chronic[[#This Row],[Crop]],Input_Scenario,14,FALSE)*HLOOKUP(Mammal_Chronic[[#This Row],[Crop]],Input_Scenario,8,FALSE)*Mammal_Chronic[[#This Row],[SVm]],""),"")</f>
        <v/>
      </c>
      <c r="P95" s="370" t="str">
        <f ca="1">IF($B$3&lt;&gt;"Passive",IFERROR(IF(ISNUMBER(INDEX(Active[M_NOAEL], 4)),
                          INDEX(Active[M_NOAEL], 4)/O95,""),""),"")</f>
        <v/>
      </c>
      <c r="Q95" s="370" t="str">
        <f>IFERROR(IF(Active5=TRUE,HLOOKUP(Mammal_Chronic[[#This Row],[Crop]],Input_Scenario,15,FALSE)*HLOOKUP(Mammal_Chronic[[#This Row],[Crop]],Input_Scenario,8,FALSE)*Mammal_Chronic[[#This Row],[SVm]],""),"")</f>
        <v/>
      </c>
      <c r="R95" s="370" t="str">
        <f ca="1">IF($B$3&lt;&gt;"Passive",IFERROR(IF(ISNUMBER(INDEX(Active[M_NOAEL], 5)),
                          INDEX(Active[M_NOAEL], 5)/Q95,""),""),"")</f>
        <v/>
      </c>
    </row>
    <row r="96" spans="1:18">
      <c r="A96" s="56"/>
      <c r="B96" s="314" t="str">
        <f t="shared" ref="B96:B159" ca="1" si="3">IF(AND($B$3="Active",ISNUMBER(I96)),"Input provided","No input")</f>
        <v>No input</v>
      </c>
      <c r="C96" s="72" t="s">
        <v>154</v>
      </c>
      <c r="D96" s="73" t="s">
        <v>109</v>
      </c>
      <c r="E96" s="73" t="s">
        <v>273</v>
      </c>
      <c r="F96" s="113">
        <v>18.100000000000001</v>
      </c>
      <c r="G96" s="203" t="str">
        <f ca="1">IF(AND(Mammal_Chronic[[#This Row],[Relevance]]="Input provided", Count&gt;=1),
       IF(M_ChronicScheme="C(mix)",
                 HLOOKUP(Mammal_Chronic[[#This Row],[Crop]], Input_Scenario,10,FALSE)*Mammal_Chronic[[#This Row],[SVm]]*HLOOKUP(Mammal_Chronic[[#This Row],[Crop]],Input_Scenario,8,FALSE),""),"")</f>
        <v/>
      </c>
      <c r="H96" s="368" t="str">
        <f t="shared" ref="H96:H159" si="4">IF(Count&gt;=1,
       IF(AND(M_ChronicScheme ="C(mix)", ISNUMBER(G96)), 5/(M_NOAEL_form/G96),
       IF(AND(M_ChronicScheme = "HIsum", Count &gt; 1),
            IF(ISNUMBER(J96), IF(ISNUMBER(J96), 5/J96, 0) + IF(ISNUMBER(L96), 5/L96, 0) + IF(ISNUMBER(N96), 5/N96, 0) + IF(ISNUMBER(P96), 5/P96, 0) + IF(ISNUMBER(R96), 5/R96, 0),""), "")),"")</f>
        <v/>
      </c>
      <c r="I96" s="370" t="str">
        <f>IFERROR(IF(Active1=TRUE,HLOOKUP(Mammal_Chronic[[#This Row],[Crop]],Input_Scenario,11,FALSE)*HLOOKUP(Mammal_Chronic[[#This Row],[Crop]],Input_Scenario,8,FALSE)*Mammal_Chronic[[#This Row],[SVm]],""),"")</f>
        <v/>
      </c>
      <c r="J96" s="370" t="str">
        <f t="shared" ca="1" si="2"/>
        <v/>
      </c>
      <c r="K96" s="370" t="str">
        <f>IFERROR(IF(Active2=TRUE,HLOOKUP(Mammal_Chronic[[#This Row],[Crop]],Input_Scenario,12,FALSE)*HLOOKUP(Mammal_Chronic[[#This Row],[Crop]],Input_Scenario,8,FALSE)*Mammal_Chronic[[#This Row],[SVm]],""),"")</f>
        <v/>
      </c>
      <c r="L96" s="370" t="str">
        <f ca="1">IF($B$3&lt;&gt;"Passive",IFERROR(IF(ISNUMBER(INDEX(Active[M_NOAEL], 2)),
                          INDEX(Active[M_NOAEL], 2)/K96,""),""),"")</f>
        <v/>
      </c>
      <c r="M96" s="370" t="str">
        <f>IFERROR(IF(Active3=TRUE,HLOOKUP(Mammal_Chronic[[#This Row],[Crop]],Input_Scenario,13,FALSE)*HLOOKUP(Mammal_Chronic[[#This Row],[Crop]],Input_Scenario,8,FALSE)*Mammal_Chronic[[#This Row],[SVm]],""),"")</f>
        <v/>
      </c>
      <c r="N96" s="370" t="str">
        <f ca="1">IF($B$3&lt;&gt;"Passive",IFERROR(IF(ISNUMBER(INDEX(Active[M_NOAEL], 3)),
                          INDEX(Active[M_NOAEL], 3)/M96,""),""),"")</f>
        <v/>
      </c>
      <c r="O96" s="370" t="str">
        <f>IFERROR(IF(Active4=TRUE,HLOOKUP(Mammal_Chronic[[#This Row],[Crop]],Input_Scenario,14,FALSE)*HLOOKUP(Mammal_Chronic[[#This Row],[Crop]],Input_Scenario,8,FALSE)*Mammal_Chronic[[#This Row],[SVm]],""),"")</f>
        <v/>
      </c>
      <c r="P96" s="370" t="str">
        <f ca="1">IF($B$3&lt;&gt;"Passive",IFERROR(IF(ISNUMBER(INDEX(Active[M_NOAEL], 4)),
                          INDEX(Active[M_NOAEL], 4)/O96,""),""),"")</f>
        <v/>
      </c>
      <c r="Q96" s="370" t="str">
        <f>IFERROR(IF(Active5=TRUE,HLOOKUP(Mammal_Chronic[[#This Row],[Crop]],Input_Scenario,15,FALSE)*HLOOKUP(Mammal_Chronic[[#This Row],[Crop]],Input_Scenario,8,FALSE)*Mammal_Chronic[[#This Row],[SVm]],""),"")</f>
        <v/>
      </c>
      <c r="R96" s="370" t="str">
        <f ca="1">IF($B$3&lt;&gt;"Passive",IFERROR(IF(ISNUMBER(INDEX(Active[M_NOAEL], 5)),
                          INDEX(Active[M_NOAEL], 5)/Q96,""),""),"")</f>
        <v/>
      </c>
    </row>
    <row r="97" spans="1:18">
      <c r="A97" s="56"/>
      <c r="B97" s="314" t="str">
        <f t="shared" ca="1" si="3"/>
        <v>No input</v>
      </c>
      <c r="C97" s="72" t="s">
        <v>154</v>
      </c>
      <c r="D97" s="73" t="s">
        <v>123</v>
      </c>
      <c r="E97" s="73" t="s">
        <v>273</v>
      </c>
      <c r="F97" s="113">
        <v>36.1</v>
      </c>
      <c r="G97" s="203" t="str">
        <f ca="1">IF(AND(Mammal_Chronic[[#This Row],[Relevance]]="Input provided", Count&gt;=1),
       IF(M_ChronicScheme="C(mix)",
                 HLOOKUP(Mammal_Chronic[[#This Row],[Crop]], Input_Scenario,10,FALSE)*Mammal_Chronic[[#This Row],[SVm]]*HLOOKUP(Mammal_Chronic[[#This Row],[Crop]],Input_Scenario,8,FALSE),""),"")</f>
        <v/>
      </c>
      <c r="H97" s="368" t="str">
        <f t="shared" si="4"/>
        <v/>
      </c>
      <c r="I97" s="370" t="str">
        <f>IFERROR(IF(Active1=TRUE,HLOOKUP(Mammal_Chronic[[#This Row],[Crop]],Input_Scenario,11,FALSE)*HLOOKUP(Mammal_Chronic[[#This Row],[Crop]],Input_Scenario,8,FALSE)*Mammal_Chronic[[#This Row],[SVm]],""),"")</f>
        <v/>
      </c>
      <c r="J97" s="370" t="str">
        <f t="shared" ref="J97:J160" ca="1" si="5">IF($B$3&lt;&gt;"Passive",IFERROR(IF(ISNUMBER($D$14),$D$14/I97,""),""),"")</f>
        <v/>
      </c>
      <c r="K97" s="370" t="str">
        <f>IFERROR(IF(Active2=TRUE,HLOOKUP(Mammal_Chronic[[#This Row],[Crop]],Input_Scenario,12,FALSE)*HLOOKUP(Mammal_Chronic[[#This Row],[Crop]],Input_Scenario,8,FALSE)*Mammal_Chronic[[#This Row],[SVm]],""),"")</f>
        <v/>
      </c>
      <c r="L97" s="370" t="str">
        <f ca="1">IF($B$3&lt;&gt;"Passive",IFERROR(IF(ISNUMBER(INDEX(Active[M_NOAEL], 2)),
                          INDEX(Active[M_NOAEL], 2)/K97,""),""),"")</f>
        <v/>
      </c>
      <c r="M97" s="370" t="str">
        <f>IFERROR(IF(Active3=TRUE,HLOOKUP(Mammal_Chronic[[#This Row],[Crop]],Input_Scenario,13,FALSE)*HLOOKUP(Mammal_Chronic[[#This Row],[Crop]],Input_Scenario,8,FALSE)*Mammal_Chronic[[#This Row],[SVm]],""),"")</f>
        <v/>
      </c>
      <c r="N97" s="370" t="str">
        <f ca="1">IF($B$3&lt;&gt;"Passive",IFERROR(IF(ISNUMBER(INDEX(Active[M_NOAEL], 3)),
                          INDEX(Active[M_NOAEL], 3)/M97,""),""),"")</f>
        <v/>
      </c>
      <c r="O97" s="370" t="str">
        <f>IFERROR(IF(Active4=TRUE,HLOOKUP(Mammal_Chronic[[#This Row],[Crop]],Input_Scenario,14,FALSE)*HLOOKUP(Mammal_Chronic[[#This Row],[Crop]],Input_Scenario,8,FALSE)*Mammal_Chronic[[#This Row],[SVm]],""),"")</f>
        <v/>
      </c>
      <c r="P97" s="370" t="str">
        <f ca="1">IF($B$3&lt;&gt;"Passive",IFERROR(IF(ISNUMBER(INDEX(Active[M_NOAEL], 4)),
                          INDEX(Active[M_NOAEL], 4)/O97,""),""),"")</f>
        <v/>
      </c>
      <c r="Q97" s="370" t="str">
        <f>IFERROR(IF(Active5=TRUE,HLOOKUP(Mammal_Chronic[[#This Row],[Crop]],Input_Scenario,15,FALSE)*HLOOKUP(Mammal_Chronic[[#This Row],[Crop]],Input_Scenario,8,FALSE)*Mammal_Chronic[[#This Row],[SVm]],""),"")</f>
        <v/>
      </c>
      <c r="R97" s="370" t="str">
        <f ca="1">IF($B$3&lt;&gt;"Passive",IFERROR(IF(ISNUMBER(INDEX(Active[M_NOAEL], 5)),
                          INDEX(Active[M_NOAEL], 5)/Q97,""),""),"")</f>
        <v/>
      </c>
    </row>
    <row r="98" spans="1:18">
      <c r="A98" s="56"/>
      <c r="B98" s="314" t="str">
        <f t="shared" ca="1" si="3"/>
        <v>No input</v>
      </c>
      <c r="C98" s="72" t="s">
        <v>154</v>
      </c>
      <c r="D98" s="73" t="s">
        <v>123</v>
      </c>
      <c r="E98" s="73" t="s">
        <v>271</v>
      </c>
      <c r="F98" s="113">
        <v>3.9</v>
      </c>
      <c r="G98" s="203" t="str">
        <f ca="1">IF(AND(Mammal_Chronic[[#This Row],[Relevance]]="Input provided", Count&gt;=1),
       IF(M_ChronicScheme="C(mix)",
                 HLOOKUP(Mammal_Chronic[[#This Row],[Crop]], Input_Scenario,10,FALSE)*Mammal_Chronic[[#This Row],[SVm]]*HLOOKUP(Mammal_Chronic[[#This Row],[Crop]],Input_Scenario,8,FALSE),""),"")</f>
        <v/>
      </c>
      <c r="H98" s="368" t="str">
        <f t="shared" si="4"/>
        <v/>
      </c>
      <c r="I98" s="370" t="str">
        <f>IFERROR(IF(Active1=TRUE,HLOOKUP(Mammal_Chronic[[#This Row],[Crop]],Input_Scenario,11,FALSE)*HLOOKUP(Mammal_Chronic[[#This Row],[Crop]],Input_Scenario,8,FALSE)*Mammal_Chronic[[#This Row],[SVm]],""),"")</f>
        <v/>
      </c>
      <c r="J98" s="370" t="str">
        <f t="shared" ca="1" si="5"/>
        <v/>
      </c>
      <c r="K98" s="370" t="str">
        <f>IFERROR(IF(Active2=TRUE,HLOOKUP(Mammal_Chronic[[#This Row],[Crop]],Input_Scenario,12,FALSE)*HLOOKUP(Mammal_Chronic[[#This Row],[Crop]],Input_Scenario,8,FALSE)*Mammal_Chronic[[#This Row],[SVm]],""),"")</f>
        <v/>
      </c>
      <c r="L98" s="370" t="str">
        <f ca="1">IF($B$3&lt;&gt;"Passive",IFERROR(IF(ISNUMBER(INDEX(Active[M_NOAEL], 2)),
                          INDEX(Active[M_NOAEL], 2)/K98,""),""),"")</f>
        <v/>
      </c>
      <c r="M98" s="370" t="str">
        <f>IFERROR(IF(Active3=TRUE,HLOOKUP(Mammal_Chronic[[#This Row],[Crop]],Input_Scenario,13,FALSE)*HLOOKUP(Mammal_Chronic[[#This Row],[Crop]],Input_Scenario,8,FALSE)*Mammal_Chronic[[#This Row],[SVm]],""),"")</f>
        <v/>
      </c>
      <c r="N98" s="370" t="str">
        <f ca="1">IF($B$3&lt;&gt;"Passive",IFERROR(IF(ISNUMBER(INDEX(Active[M_NOAEL], 3)),
                          INDEX(Active[M_NOAEL], 3)/M98,""),""),"")</f>
        <v/>
      </c>
      <c r="O98" s="370" t="str">
        <f>IFERROR(IF(Active4=TRUE,HLOOKUP(Mammal_Chronic[[#This Row],[Crop]],Input_Scenario,14,FALSE)*HLOOKUP(Mammal_Chronic[[#This Row],[Crop]],Input_Scenario,8,FALSE)*Mammal_Chronic[[#This Row],[SVm]],""),"")</f>
        <v/>
      </c>
      <c r="P98" s="370" t="str">
        <f ca="1">IF($B$3&lt;&gt;"Passive",IFERROR(IF(ISNUMBER(INDEX(Active[M_NOAEL], 4)),
                          INDEX(Active[M_NOAEL], 4)/O98,""),""),"")</f>
        <v/>
      </c>
      <c r="Q98" s="370" t="str">
        <f>IFERROR(IF(Active5=TRUE,HLOOKUP(Mammal_Chronic[[#This Row],[Crop]],Input_Scenario,15,FALSE)*HLOOKUP(Mammal_Chronic[[#This Row],[Crop]],Input_Scenario,8,FALSE)*Mammal_Chronic[[#This Row],[SVm]],""),"")</f>
        <v/>
      </c>
      <c r="R98" s="370" t="str">
        <f ca="1">IF($B$3&lt;&gt;"Passive",IFERROR(IF(ISNUMBER(INDEX(Active[M_NOAEL], 5)),
                          INDEX(Active[M_NOAEL], 5)/Q98,""),""),"")</f>
        <v/>
      </c>
    </row>
    <row r="99" spans="1:18">
      <c r="A99" s="56"/>
      <c r="B99" s="314" t="str">
        <f t="shared" ca="1" si="3"/>
        <v>No input</v>
      </c>
      <c r="C99" s="72" t="s">
        <v>154</v>
      </c>
      <c r="D99" s="73" t="s">
        <v>109</v>
      </c>
      <c r="E99" s="73" t="s">
        <v>271</v>
      </c>
      <c r="F99" s="113">
        <v>1.9</v>
      </c>
      <c r="G99" s="203" t="str">
        <f ca="1">IF(AND(Mammal_Chronic[[#This Row],[Relevance]]="Input provided", Count&gt;=1),
       IF(M_ChronicScheme="C(mix)",
                 HLOOKUP(Mammal_Chronic[[#This Row],[Crop]], Input_Scenario,10,FALSE)*Mammal_Chronic[[#This Row],[SVm]]*HLOOKUP(Mammal_Chronic[[#This Row],[Crop]],Input_Scenario,8,FALSE),""),"")</f>
        <v/>
      </c>
      <c r="H99" s="368" t="str">
        <f t="shared" si="4"/>
        <v/>
      </c>
      <c r="I99" s="370" t="str">
        <f>IFERROR(IF(Active1=TRUE,HLOOKUP(Mammal_Chronic[[#This Row],[Crop]],Input_Scenario,11,FALSE)*HLOOKUP(Mammal_Chronic[[#This Row],[Crop]],Input_Scenario,8,FALSE)*Mammal_Chronic[[#This Row],[SVm]],""),"")</f>
        <v/>
      </c>
      <c r="J99" s="370" t="str">
        <f t="shared" ca="1" si="5"/>
        <v/>
      </c>
      <c r="K99" s="370" t="str">
        <f>IFERROR(IF(Active2=TRUE,HLOOKUP(Mammal_Chronic[[#This Row],[Crop]],Input_Scenario,12,FALSE)*HLOOKUP(Mammal_Chronic[[#This Row],[Crop]],Input_Scenario,8,FALSE)*Mammal_Chronic[[#This Row],[SVm]],""),"")</f>
        <v/>
      </c>
      <c r="L99" s="370" t="str">
        <f ca="1">IF($B$3&lt;&gt;"Passive",IFERROR(IF(ISNUMBER(INDEX(Active[M_NOAEL], 2)),
                          INDEX(Active[M_NOAEL], 2)/K99,""),""),"")</f>
        <v/>
      </c>
      <c r="M99" s="370" t="str">
        <f>IFERROR(IF(Active3=TRUE,HLOOKUP(Mammal_Chronic[[#This Row],[Crop]],Input_Scenario,13,FALSE)*HLOOKUP(Mammal_Chronic[[#This Row],[Crop]],Input_Scenario,8,FALSE)*Mammal_Chronic[[#This Row],[SVm]],""),"")</f>
        <v/>
      </c>
      <c r="N99" s="370" t="str">
        <f ca="1">IF($B$3&lt;&gt;"Passive",IFERROR(IF(ISNUMBER(INDEX(Active[M_NOAEL], 3)),
                          INDEX(Active[M_NOAEL], 3)/M99,""),""),"")</f>
        <v/>
      </c>
      <c r="O99" s="370" t="str">
        <f>IFERROR(IF(Active4=TRUE,HLOOKUP(Mammal_Chronic[[#This Row],[Crop]],Input_Scenario,14,FALSE)*HLOOKUP(Mammal_Chronic[[#This Row],[Crop]],Input_Scenario,8,FALSE)*Mammal_Chronic[[#This Row],[SVm]],""),"")</f>
        <v/>
      </c>
      <c r="P99" s="370" t="str">
        <f ca="1">IF($B$3&lt;&gt;"Passive",IFERROR(IF(ISNUMBER(INDEX(Active[M_NOAEL], 4)),
                          INDEX(Active[M_NOAEL], 4)/O99,""),""),"")</f>
        <v/>
      </c>
      <c r="Q99" s="370" t="str">
        <f>IFERROR(IF(Active5=TRUE,HLOOKUP(Mammal_Chronic[[#This Row],[Crop]],Input_Scenario,15,FALSE)*HLOOKUP(Mammal_Chronic[[#This Row],[Crop]],Input_Scenario,8,FALSE)*Mammal_Chronic[[#This Row],[SVm]],""),"")</f>
        <v/>
      </c>
      <c r="R99" s="370" t="str">
        <f ca="1">IF($B$3&lt;&gt;"Passive",IFERROR(IF(ISNUMBER(INDEX(Active[M_NOAEL], 5)),
                          INDEX(Active[M_NOAEL], 5)/Q99,""),""),"")</f>
        <v/>
      </c>
    </row>
    <row r="100" spans="1:18">
      <c r="A100" s="56"/>
      <c r="B100" s="314" t="str">
        <f t="shared" ca="1" si="3"/>
        <v>No input</v>
      </c>
      <c r="C100" s="72" t="s">
        <v>160</v>
      </c>
      <c r="D100" s="73" t="s">
        <v>108</v>
      </c>
      <c r="E100" s="73" t="s">
        <v>272</v>
      </c>
      <c r="F100" s="113">
        <v>4.2</v>
      </c>
      <c r="G100" s="203" t="str">
        <f ca="1">IF(AND(Mammal_Chronic[[#This Row],[Relevance]]="Input provided", Count&gt;=1),
       IF(M_ChronicScheme="C(mix)",
                 HLOOKUP(Mammal_Chronic[[#This Row],[Crop]], Input_Scenario,10,FALSE)*Mammal_Chronic[[#This Row],[SVm]]*HLOOKUP(Mammal_Chronic[[#This Row],[Crop]],Input_Scenario,8,FALSE),""),"")</f>
        <v/>
      </c>
      <c r="H100" s="368" t="str">
        <f t="shared" si="4"/>
        <v/>
      </c>
      <c r="I100" s="370" t="str">
        <f>IFERROR(IF(Active1=TRUE,HLOOKUP(Mammal_Chronic[[#This Row],[Crop]],Input_Scenario,11,FALSE)*HLOOKUP(Mammal_Chronic[[#This Row],[Crop]],Input_Scenario,8,FALSE)*Mammal_Chronic[[#This Row],[SVm]],""),"")</f>
        <v/>
      </c>
      <c r="J100" s="370" t="str">
        <f t="shared" ca="1" si="5"/>
        <v/>
      </c>
      <c r="K100" s="370" t="str">
        <f>IFERROR(IF(Active2=TRUE,HLOOKUP(Mammal_Chronic[[#This Row],[Crop]],Input_Scenario,12,FALSE)*HLOOKUP(Mammal_Chronic[[#This Row],[Crop]],Input_Scenario,8,FALSE)*Mammal_Chronic[[#This Row],[SVm]],""),"")</f>
        <v/>
      </c>
      <c r="L100" s="370" t="str">
        <f ca="1">IF($B$3&lt;&gt;"Passive",IFERROR(IF(ISNUMBER(INDEX(Active[M_NOAEL], 2)),
                          INDEX(Active[M_NOAEL], 2)/K100,""),""),"")</f>
        <v/>
      </c>
      <c r="M100" s="370" t="str">
        <f>IFERROR(IF(Active3=TRUE,HLOOKUP(Mammal_Chronic[[#This Row],[Crop]],Input_Scenario,13,FALSE)*HLOOKUP(Mammal_Chronic[[#This Row],[Crop]],Input_Scenario,8,FALSE)*Mammal_Chronic[[#This Row],[SVm]],""),"")</f>
        <v/>
      </c>
      <c r="N100" s="370" t="str">
        <f ca="1">IF($B$3&lt;&gt;"Passive",IFERROR(IF(ISNUMBER(INDEX(Active[M_NOAEL], 3)),
                          INDEX(Active[M_NOAEL], 3)/M100,""),""),"")</f>
        <v/>
      </c>
      <c r="O100" s="370" t="str">
        <f>IFERROR(IF(Active4=TRUE,HLOOKUP(Mammal_Chronic[[#This Row],[Crop]],Input_Scenario,14,FALSE)*HLOOKUP(Mammal_Chronic[[#This Row],[Crop]],Input_Scenario,8,FALSE)*Mammal_Chronic[[#This Row],[SVm]],""),"")</f>
        <v/>
      </c>
      <c r="P100" s="370" t="str">
        <f ca="1">IF($B$3&lt;&gt;"Passive",IFERROR(IF(ISNUMBER(INDEX(Active[M_NOAEL], 4)),
                          INDEX(Active[M_NOAEL], 4)/O100,""),""),"")</f>
        <v/>
      </c>
      <c r="Q100" s="370" t="str">
        <f>IFERROR(IF(Active5=TRUE,HLOOKUP(Mammal_Chronic[[#This Row],[Crop]],Input_Scenario,15,FALSE)*HLOOKUP(Mammal_Chronic[[#This Row],[Crop]],Input_Scenario,8,FALSE)*Mammal_Chronic[[#This Row],[SVm]],""),"")</f>
        <v/>
      </c>
      <c r="R100" s="370" t="str">
        <f ca="1">IF($B$3&lt;&gt;"Passive",IFERROR(IF(ISNUMBER(INDEX(Active[M_NOAEL], 5)),
                          INDEX(Active[M_NOAEL], 5)/Q100,""),""),"")</f>
        <v/>
      </c>
    </row>
    <row r="101" spans="1:18">
      <c r="A101" s="56"/>
      <c r="B101" s="314" t="str">
        <f t="shared" ca="1" si="3"/>
        <v>No input</v>
      </c>
      <c r="C101" s="72" t="s">
        <v>160</v>
      </c>
      <c r="D101" s="73" t="s">
        <v>111</v>
      </c>
      <c r="E101" s="73" t="s">
        <v>272</v>
      </c>
      <c r="F101" s="113">
        <v>1.9</v>
      </c>
      <c r="G101" s="203" t="str">
        <f ca="1">IF(AND(Mammal_Chronic[[#This Row],[Relevance]]="Input provided", Count&gt;=1),
       IF(M_ChronicScheme="C(mix)",
                 HLOOKUP(Mammal_Chronic[[#This Row],[Crop]], Input_Scenario,10,FALSE)*Mammal_Chronic[[#This Row],[SVm]]*HLOOKUP(Mammal_Chronic[[#This Row],[Crop]],Input_Scenario,8,FALSE),""),"")</f>
        <v/>
      </c>
      <c r="H101" s="368" t="str">
        <f t="shared" si="4"/>
        <v/>
      </c>
      <c r="I101" s="370" t="str">
        <f>IFERROR(IF(Active1=TRUE,HLOOKUP(Mammal_Chronic[[#This Row],[Crop]],Input_Scenario,11,FALSE)*HLOOKUP(Mammal_Chronic[[#This Row],[Crop]],Input_Scenario,8,FALSE)*Mammal_Chronic[[#This Row],[SVm]],""),"")</f>
        <v/>
      </c>
      <c r="J101" s="370" t="str">
        <f t="shared" ca="1" si="5"/>
        <v/>
      </c>
      <c r="K101" s="370" t="str">
        <f>IFERROR(IF(Active2=TRUE,HLOOKUP(Mammal_Chronic[[#This Row],[Crop]],Input_Scenario,12,FALSE)*HLOOKUP(Mammal_Chronic[[#This Row],[Crop]],Input_Scenario,8,FALSE)*Mammal_Chronic[[#This Row],[SVm]],""),"")</f>
        <v/>
      </c>
      <c r="L101" s="370" t="str">
        <f ca="1">IF($B$3&lt;&gt;"Passive",IFERROR(IF(ISNUMBER(INDEX(Active[M_NOAEL], 2)),
                          INDEX(Active[M_NOAEL], 2)/K101,""),""),"")</f>
        <v/>
      </c>
      <c r="M101" s="370" t="str">
        <f>IFERROR(IF(Active3=TRUE,HLOOKUP(Mammal_Chronic[[#This Row],[Crop]],Input_Scenario,13,FALSE)*HLOOKUP(Mammal_Chronic[[#This Row],[Crop]],Input_Scenario,8,FALSE)*Mammal_Chronic[[#This Row],[SVm]],""),"")</f>
        <v/>
      </c>
      <c r="N101" s="370" t="str">
        <f ca="1">IF($B$3&lt;&gt;"Passive",IFERROR(IF(ISNUMBER(INDEX(Active[M_NOAEL], 3)),
                          INDEX(Active[M_NOAEL], 3)/M101,""),""),"")</f>
        <v/>
      </c>
      <c r="O101" s="370" t="str">
        <f>IFERROR(IF(Active4=TRUE,HLOOKUP(Mammal_Chronic[[#This Row],[Crop]],Input_Scenario,14,FALSE)*HLOOKUP(Mammal_Chronic[[#This Row],[Crop]],Input_Scenario,8,FALSE)*Mammal_Chronic[[#This Row],[SVm]],""),"")</f>
        <v/>
      </c>
      <c r="P101" s="370" t="str">
        <f ca="1">IF($B$3&lt;&gt;"Passive",IFERROR(IF(ISNUMBER(INDEX(Active[M_NOAEL], 4)),
                          INDEX(Active[M_NOAEL], 4)/O101,""),""),"")</f>
        <v/>
      </c>
      <c r="Q101" s="370" t="str">
        <f>IFERROR(IF(Active5=TRUE,HLOOKUP(Mammal_Chronic[[#This Row],[Crop]],Input_Scenario,15,FALSE)*HLOOKUP(Mammal_Chronic[[#This Row],[Crop]],Input_Scenario,8,FALSE)*Mammal_Chronic[[#This Row],[SVm]],""),"")</f>
        <v/>
      </c>
      <c r="R101" s="370" t="str">
        <f ca="1">IF($B$3&lt;&gt;"Passive",IFERROR(IF(ISNUMBER(INDEX(Active[M_NOAEL], 5)),
                          INDEX(Active[M_NOAEL], 5)/Q101,""),""),"")</f>
        <v/>
      </c>
    </row>
    <row r="102" spans="1:18">
      <c r="A102" s="56"/>
      <c r="B102" s="314" t="str">
        <f t="shared" ca="1" si="3"/>
        <v>No input</v>
      </c>
      <c r="C102" s="72" t="s">
        <v>160</v>
      </c>
      <c r="D102" s="73" t="s">
        <v>123</v>
      </c>
      <c r="E102" s="73" t="s">
        <v>271</v>
      </c>
      <c r="F102" s="113">
        <v>2.2999999999999998</v>
      </c>
      <c r="G102" s="203" t="str">
        <f ca="1">IF(AND(Mammal_Chronic[[#This Row],[Relevance]]="Input provided", Count&gt;=1),
       IF(M_ChronicScheme="C(mix)",
                 HLOOKUP(Mammal_Chronic[[#This Row],[Crop]], Input_Scenario,10,FALSE)*Mammal_Chronic[[#This Row],[SVm]]*HLOOKUP(Mammal_Chronic[[#This Row],[Crop]],Input_Scenario,8,FALSE),""),"")</f>
        <v/>
      </c>
      <c r="H102" s="368" t="str">
        <f t="shared" si="4"/>
        <v/>
      </c>
      <c r="I102" s="370" t="str">
        <f>IFERROR(IF(Active1=TRUE,HLOOKUP(Mammal_Chronic[[#This Row],[Crop]],Input_Scenario,11,FALSE)*HLOOKUP(Mammal_Chronic[[#This Row],[Crop]],Input_Scenario,8,FALSE)*Mammal_Chronic[[#This Row],[SVm]],""),"")</f>
        <v/>
      </c>
      <c r="J102" s="370" t="str">
        <f t="shared" ca="1" si="5"/>
        <v/>
      </c>
      <c r="K102" s="370" t="str">
        <f>IFERROR(IF(Active2=TRUE,HLOOKUP(Mammal_Chronic[[#This Row],[Crop]],Input_Scenario,12,FALSE)*HLOOKUP(Mammal_Chronic[[#This Row],[Crop]],Input_Scenario,8,FALSE)*Mammal_Chronic[[#This Row],[SVm]],""),"")</f>
        <v/>
      </c>
      <c r="L102" s="370" t="str">
        <f ca="1">IF($B$3&lt;&gt;"Passive",IFERROR(IF(ISNUMBER(INDEX(Active[M_NOAEL], 2)),
                          INDEX(Active[M_NOAEL], 2)/K102,""),""),"")</f>
        <v/>
      </c>
      <c r="M102" s="370" t="str">
        <f>IFERROR(IF(Active3=TRUE,HLOOKUP(Mammal_Chronic[[#This Row],[Crop]],Input_Scenario,13,FALSE)*HLOOKUP(Mammal_Chronic[[#This Row],[Crop]],Input_Scenario,8,FALSE)*Mammal_Chronic[[#This Row],[SVm]],""),"")</f>
        <v/>
      </c>
      <c r="N102" s="370" t="str">
        <f ca="1">IF($B$3&lt;&gt;"Passive",IFERROR(IF(ISNUMBER(INDEX(Active[M_NOAEL], 3)),
                          INDEX(Active[M_NOAEL], 3)/M102,""),""),"")</f>
        <v/>
      </c>
      <c r="O102" s="370" t="str">
        <f>IFERROR(IF(Active4=TRUE,HLOOKUP(Mammal_Chronic[[#This Row],[Crop]],Input_Scenario,14,FALSE)*HLOOKUP(Mammal_Chronic[[#This Row],[Crop]],Input_Scenario,8,FALSE)*Mammal_Chronic[[#This Row],[SVm]],""),"")</f>
        <v/>
      </c>
      <c r="P102" s="370" t="str">
        <f ca="1">IF($B$3&lt;&gt;"Passive",IFERROR(IF(ISNUMBER(INDEX(Active[M_NOAEL], 4)),
                          INDEX(Active[M_NOAEL], 4)/O102,""),""),"")</f>
        <v/>
      </c>
      <c r="Q102" s="370" t="str">
        <f>IFERROR(IF(Active5=TRUE,HLOOKUP(Mammal_Chronic[[#This Row],[Crop]],Input_Scenario,15,FALSE)*HLOOKUP(Mammal_Chronic[[#This Row],[Crop]],Input_Scenario,8,FALSE)*Mammal_Chronic[[#This Row],[SVm]],""),"")</f>
        <v/>
      </c>
      <c r="R102" s="370" t="str">
        <f ca="1">IF($B$3&lt;&gt;"Passive",IFERROR(IF(ISNUMBER(INDEX(Active[M_NOAEL], 5)),
                          INDEX(Active[M_NOAEL], 5)/Q102,""),""),"")</f>
        <v/>
      </c>
    </row>
    <row r="103" spans="1:18">
      <c r="A103" s="56"/>
      <c r="B103" s="314" t="str">
        <f t="shared" ca="1" si="3"/>
        <v>No input</v>
      </c>
      <c r="C103" s="72" t="s">
        <v>160</v>
      </c>
      <c r="D103" s="73" t="s">
        <v>254</v>
      </c>
      <c r="E103" s="73" t="s">
        <v>275</v>
      </c>
      <c r="F103" s="113">
        <v>14.3</v>
      </c>
      <c r="G103" s="203" t="str">
        <f ca="1">IF(AND(Mammal_Chronic[[#This Row],[Relevance]]="Input provided", Count&gt;=1),
       IF(M_ChronicScheme="C(mix)",
                 HLOOKUP(Mammal_Chronic[[#This Row],[Crop]], Input_Scenario,10,FALSE)*Mammal_Chronic[[#This Row],[SVm]]*HLOOKUP(Mammal_Chronic[[#This Row],[Crop]],Input_Scenario,8,FALSE),""),"")</f>
        <v/>
      </c>
      <c r="H103" s="368" t="str">
        <f t="shared" si="4"/>
        <v/>
      </c>
      <c r="I103" s="370" t="str">
        <f>IFERROR(IF(Active1=TRUE,HLOOKUP(Mammal_Chronic[[#This Row],[Crop]],Input_Scenario,11,FALSE)*HLOOKUP(Mammal_Chronic[[#This Row],[Crop]],Input_Scenario,8,FALSE)*Mammal_Chronic[[#This Row],[SVm]],""),"")</f>
        <v/>
      </c>
      <c r="J103" s="370" t="str">
        <f t="shared" ca="1" si="5"/>
        <v/>
      </c>
      <c r="K103" s="370" t="str">
        <f>IFERROR(IF(Active2=TRUE,HLOOKUP(Mammal_Chronic[[#This Row],[Crop]],Input_Scenario,12,FALSE)*HLOOKUP(Mammal_Chronic[[#This Row],[Crop]],Input_Scenario,8,FALSE)*Mammal_Chronic[[#This Row],[SVm]],""),"")</f>
        <v/>
      </c>
      <c r="L103" s="370" t="str">
        <f ca="1">IF($B$3&lt;&gt;"Passive",IFERROR(IF(ISNUMBER(INDEX(Active[M_NOAEL], 2)),
                          INDEX(Active[M_NOAEL], 2)/K103,""),""),"")</f>
        <v/>
      </c>
      <c r="M103" s="370" t="str">
        <f>IFERROR(IF(Active3=TRUE,HLOOKUP(Mammal_Chronic[[#This Row],[Crop]],Input_Scenario,13,FALSE)*HLOOKUP(Mammal_Chronic[[#This Row],[Crop]],Input_Scenario,8,FALSE)*Mammal_Chronic[[#This Row],[SVm]],""),"")</f>
        <v/>
      </c>
      <c r="N103" s="370" t="str">
        <f ca="1">IF($B$3&lt;&gt;"Passive",IFERROR(IF(ISNUMBER(INDEX(Active[M_NOAEL], 3)),
                          INDEX(Active[M_NOAEL], 3)/M103,""),""),"")</f>
        <v/>
      </c>
      <c r="O103" s="370" t="str">
        <f>IFERROR(IF(Active4=TRUE,HLOOKUP(Mammal_Chronic[[#This Row],[Crop]],Input_Scenario,14,FALSE)*HLOOKUP(Mammal_Chronic[[#This Row],[Crop]],Input_Scenario,8,FALSE)*Mammal_Chronic[[#This Row],[SVm]],""),"")</f>
        <v/>
      </c>
      <c r="P103" s="370" t="str">
        <f ca="1">IF($B$3&lt;&gt;"Passive",IFERROR(IF(ISNUMBER(INDEX(Active[M_NOAEL], 4)),
                          INDEX(Active[M_NOAEL], 4)/O103,""),""),"")</f>
        <v/>
      </c>
      <c r="Q103" s="370" t="str">
        <f>IFERROR(IF(Active5=TRUE,HLOOKUP(Mammal_Chronic[[#This Row],[Crop]],Input_Scenario,15,FALSE)*HLOOKUP(Mammal_Chronic[[#This Row],[Crop]],Input_Scenario,8,FALSE)*Mammal_Chronic[[#This Row],[SVm]],""),"")</f>
        <v/>
      </c>
      <c r="R103" s="370" t="str">
        <f ca="1">IF($B$3&lt;&gt;"Passive",IFERROR(IF(ISNUMBER(INDEX(Active[M_NOAEL], 5)),
                          INDEX(Active[M_NOAEL], 5)/Q103,""),""),"")</f>
        <v/>
      </c>
    </row>
    <row r="104" spans="1:18">
      <c r="A104" s="56"/>
      <c r="B104" s="314" t="str">
        <f t="shared" ca="1" si="3"/>
        <v>No input</v>
      </c>
      <c r="C104" s="72" t="s">
        <v>160</v>
      </c>
      <c r="D104" s="73" t="s">
        <v>119</v>
      </c>
      <c r="E104" s="73" t="s">
        <v>271</v>
      </c>
      <c r="F104" s="113">
        <v>7.8</v>
      </c>
      <c r="G104" s="203" t="str">
        <f ca="1">IF(AND(Mammal_Chronic[[#This Row],[Relevance]]="Input provided", Count&gt;=1),
       IF(M_ChronicScheme="C(mix)",
                 HLOOKUP(Mammal_Chronic[[#This Row],[Crop]], Input_Scenario,10,FALSE)*Mammal_Chronic[[#This Row],[SVm]]*HLOOKUP(Mammal_Chronic[[#This Row],[Crop]],Input_Scenario,8,FALSE),""),"")</f>
        <v/>
      </c>
      <c r="H104" s="368" t="str">
        <f t="shared" si="4"/>
        <v/>
      </c>
      <c r="I104" s="370" t="str">
        <f>IFERROR(IF(Active1=TRUE,HLOOKUP(Mammal_Chronic[[#This Row],[Crop]],Input_Scenario,11,FALSE)*HLOOKUP(Mammal_Chronic[[#This Row],[Crop]],Input_Scenario,8,FALSE)*Mammal_Chronic[[#This Row],[SVm]],""),"")</f>
        <v/>
      </c>
      <c r="J104" s="370" t="str">
        <f t="shared" ca="1" si="5"/>
        <v/>
      </c>
      <c r="K104" s="370" t="str">
        <f>IFERROR(IF(Active2=TRUE,HLOOKUP(Mammal_Chronic[[#This Row],[Crop]],Input_Scenario,12,FALSE)*HLOOKUP(Mammal_Chronic[[#This Row],[Crop]],Input_Scenario,8,FALSE)*Mammal_Chronic[[#This Row],[SVm]],""),"")</f>
        <v/>
      </c>
      <c r="L104" s="370" t="str">
        <f ca="1">IF($B$3&lt;&gt;"Passive",IFERROR(IF(ISNUMBER(INDEX(Active[M_NOAEL], 2)),
                          INDEX(Active[M_NOAEL], 2)/K104,""),""),"")</f>
        <v/>
      </c>
      <c r="M104" s="370" t="str">
        <f>IFERROR(IF(Active3=TRUE,HLOOKUP(Mammal_Chronic[[#This Row],[Crop]],Input_Scenario,13,FALSE)*HLOOKUP(Mammal_Chronic[[#This Row],[Crop]],Input_Scenario,8,FALSE)*Mammal_Chronic[[#This Row],[SVm]],""),"")</f>
        <v/>
      </c>
      <c r="N104" s="370" t="str">
        <f ca="1">IF($B$3&lt;&gt;"Passive",IFERROR(IF(ISNUMBER(INDEX(Active[M_NOAEL], 3)),
                          INDEX(Active[M_NOAEL], 3)/M104,""),""),"")</f>
        <v/>
      </c>
      <c r="O104" s="370" t="str">
        <f>IFERROR(IF(Active4=TRUE,HLOOKUP(Mammal_Chronic[[#This Row],[Crop]],Input_Scenario,14,FALSE)*HLOOKUP(Mammal_Chronic[[#This Row],[Crop]],Input_Scenario,8,FALSE)*Mammal_Chronic[[#This Row],[SVm]],""),"")</f>
        <v/>
      </c>
      <c r="P104" s="370" t="str">
        <f ca="1">IF($B$3&lt;&gt;"Passive",IFERROR(IF(ISNUMBER(INDEX(Active[M_NOAEL], 4)),
                          INDEX(Active[M_NOAEL], 4)/O104,""),""),"")</f>
        <v/>
      </c>
      <c r="Q104" s="370" t="str">
        <f>IFERROR(IF(Active5=TRUE,HLOOKUP(Mammal_Chronic[[#This Row],[Crop]],Input_Scenario,15,FALSE)*HLOOKUP(Mammal_Chronic[[#This Row],[Crop]],Input_Scenario,8,FALSE)*Mammal_Chronic[[#This Row],[SVm]],""),"")</f>
        <v/>
      </c>
      <c r="R104" s="370" t="str">
        <f ca="1">IF($B$3&lt;&gt;"Passive",IFERROR(IF(ISNUMBER(INDEX(Active[M_NOAEL], 5)),
                          INDEX(Active[M_NOAEL], 5)/Q104,""),""),"")</f>
        <v/>
      </c>
    </row>
    <row r="105" spans="1:18">
      <c r="A105" s="56"/>
      <c r="B105" s="314" t="str">
        <f t="shared" ca="1" si="3"/>
        <v>No input</v>
      </c>
      <c r="C105" s="72" t="s">
        <v>160</v>
      </c>
      <c r="D105" s="73" t="s">
        <v>109</v>
      </c>
      <c r="E105" s="73" t="s">
        <v>273</v>
      </c>
      <c r="F105" s="113">
        <v>18.100000000000001</v>
      </c>
      <c r="G105" s="203" t="str">
        <f ca="1">IF(AND(Mammal_Chronic[[#This Row],[Relevance]]="Input provided", Count&gt;=1),
       IF(M_ChronicScheme="C(mix)",
                 HLOOKUP(Mammal_Chronic[[#This Row],[Crop]], Input_Scenario,10,FALSE)*Mammal_Chronic[[#This Row],[SVm]]*HLOOKUP(Mammal_Chronic[[#This Row],[Crop]],Input_Scenario,8,FALSE),""),"")</f>
        <v/>
      </c>
      <c r="H105" s="368" t="str">
        <f t="shared" si="4"/>
        <v/>
      </c>
      <c r="I105" s="370" t="str">
        <f>IFERROR(IF(Active1=TRUE,HLOOKUP(Mammal_Chronic[[#This Row],[Crop]],Input_Scenario,11,FALSE)*HLOOKUP(Mammal_Chronic[[#This Row],[Crop]],Input_Scenario,8,FALSE)*Mammal_Chronic[[#This Row],[SVm]],""),"")</f>
        <v/>
      </c>
      <c r="J105" s="370" t="str">
        <f t="shared" ca="1" si="5"/>
        <v/>
      </c>
      <c r="K105" s="370" t="str">
        <f>IFERROR(IF(Active2=TRUE,HLOOKUP(Mammal_Chronic[[#This Row],[Crop]],Input_Scenario,12,FALSE)*HLOOKUP(Mammal_Chronic[[#This Row],[Crop]],Input_Scenario,8,FALSE)*Mammal_Chronic[[#This Row],[SVm]],""),"")</f>
        <v/>
      </c>
      <c r="L105" s="370" t="str">
        <f ca="1">IF($B$3&lt;&gt;"Passive",IFERROR(IF(ISNUMBER(INDEX(Active[M_NOAEL], 2)),
                          INDEX(Active[M_NOAEL], 2)/K105,""),""),"")</f>
        <v/>
      </c>
      <c r="M105" s="370" t="str">
        <f>IFERROR(IF(Active3=TRUE,HLOOKUP(Mammal_Chronic[[#This Row],[Crop]],Input_Scenario,13,FALSE)*HLOOKUP(Mammal_Chronic[[#This Row],[Crop]],Input_Scenario,8,FALSE)*Mammal_Chronic[[#This Row],[SVm]],""),"")</f>
        <v/>
      </c>
      <c r="N105" s="370" t="str">
        <f ca="1">IF($B$3&lt;&gt;"Passive",IFERROR(IF(ISNUMBER(INDEX(Active[M_NOAEL], 3)),
                          INDEX(Active[M_NOAEL], 3)/M105,""),""),"")</f>
        <v/>
      </c>
      <c r="O105" s="370" t="str">
        <f>IFERROR(IF(Active4=TRUE,HLOOKUP(Mammal_Chronic[[#This Row],[Crop]],Input_Scenario,14,FALSE)*HLOOKUP(Mammal_Chronic[[#This Row],[Crop]],Input_Scenario,8,FALSE)*Mammal_Chronic[[#This Row],[SVm]],""),"")</f>
        <v/>
      </c>
      <c r="P105" s="370" t="str">
        <f ca="1">IF($B$3&lt;&gt;"Passive",IFERROR(IF(ISNUMBER(INDEX(Active[M_NOAEL], 4)),
                          INDEX(Active[M_NOAEL], 4)/O105,""),""),"")</f>
        <v/>
      </c>
      <c r="Q105" s="370" t="str">
        <f>IFERROR(IF(Active5=TRUE,HLOOKUP(Mammal_Chronic[[#This Row],[Crop]],Input_Scenario,15,FALSE)*HLOOKUP(Mammal_Chronic[[#This Row],[Crop]],Input_Scenario,8,FALSE)*Mammal_Chronic[[#This Row],[SVm]],""),"")</f>
        <v/>
      </c>
      <c r="R105" s="370" t="str">
        <f ca="1">IF($B$3&lt;&gt;"Passive",IFERROR(IF(ISNUMBER(INDEX(Active[M_NOAEL], 5)),
                          INDEX(Active[M_NOAEL], 5)/Q105,""),""),"")</f>
        <v/>
      </c>
    </row>
    <row r="106" spans="1:18">
      <c r="A106" s="56"/>
      <c r="B106" s="314" t="str">
        <f t="shared" ca="1" si="3"/>
        <v>No input</v>
      </c>
      <c r="C106" s="72" t="s">
        <v>160</v>
      </c>
      <c r="D106" s="73" t="s">
        <v>109</v>
      </c>
      <c r="E106" s="73" t="s">
        <v>271</v>
      </c>
      <c r="F106" s="113">
        <v>1.9</v>
      </c>
      <c r="G106" s="203" t="str">
        <f ca="1">IF(AND(Mammal_Chronic[[#This Row],[Relevance]]="Input provided", Count&gt;=1),
       IF(M_ChronicScheme="C(mix)",
                 HLOOKUP(Mammal_Chronic[[#This Row],[Crop]], Input_Scenario,10,FALSE)*Mammal_Chronic[[#This Row],[SVm]]*HLOOKUP(Mammal_Chronic[[#This Row],[Crop]],Input_Scenario,8,FALSE),""),"")</f>
        <v/>
      </c>
      <c r="H106" s="368" t="str">
        <f t="shared" si="4"/>
        <v/>
      </c>
      <c r="I106" s="370" t="str">
        <f>IFERROR(IF(Active1=TRUE,HLOOKUP(Mammal_Chronic[[#This Row],[Crop]],Input_Scenario,11,FALSE)*HLOOKUP(Mammal_Chronic[[#This Row],[Crop]],Input_Scenario,8,FALSE)*Mammal_Chronic[[#This Row],[SVm]],""),"")</f>
        <v/>
      </c>
      <c r="J106" s="370" t="str">
        <f t="shared" ca="1" si="5"/>
        <v/>
      </c>
      <c r="K106" s="370" t="str">
        <f>IFERROR(IF(Active2=TRUE,HLOOKUP(Mammal_Chronic[[#This Row],[Crop]],Input_Scenario,12,FALSE)*HLOOKUP(Mammal_Chronic[[#This Row],[Crop]],Input_Scenario,8,FALSE)*Mammal_Chronic[[#This Row],[SVm]],""),"")</f>
        <v/>
      </c>
      <c r="L106" s="370" t="str">
        <f ca="1">IF($B$3&lt;&gt;"Passive",IFERROR(IF(ISNUMBER(INDEX(Active[M_NOAEL], 2)),
                          INDEX(Active[M_NOAEL], 2)/K106,""),""),"")</f>
        <v/>
      </c>
      <c r="M106" s="370" t="str">
        <f>IFERROR(IF(Active3=TRUE,HLOOKUP(Mammal_Chronic[[#This Row],[Crop]],Input_Scenario,13,FALSE)*HLOOKUP(Mammal_Chronic[[#This Row],[Crop]],Input_Scenario,8,FALSE)*Mammal_Chronic[[#This Row],[SVm]],""),"")</f>
        <v/>
      </c>
      <c r="N106" s="370" t="str">
        <f ca="1">IF($B$3&lt;&gt;"Passive",IFERROR(IF(ISNUMBER(INDEX(Active[M_NOAEL], 3)),
                          INDEX(Active[M_NOAEL], 3)/M106,""),""),"")</f>
        <v/>
      </c>
      <c r="O106" s="370" t="str">
        <f>IFERROR(IF(Active4=TRUE,HLOOKUP(Mammal_Chronic[[#This Row],[Crop]],Input_Scenario,14,FALSE)*HLOOKUP(Mammal_Chronic[[#This Row],[Crop]],Input_Scenario,8,FALSE)*Mammal_Chronic[[#This Row],[SVm]],""),"")</f>
        <v/>
      </c>
      <c r="P106" s="370" t="str">
        <f ca="1">IF($B$3&lt;&gt;"Passive",IFERROR(IF(ISNUMBER(INDEX(Active[M_NOAEL], 4)),
                          INDEX(Active[M_NOAEL], 4)/O106,""),""),"")</f>
        <v/>
      </c>
      <c r="Q106" s="370" t="str">
        <f>IFERROR(IF(Active5=TRUE,HLOOKUP(Mammal_Chronic[[#This Row],[Crop]],Input_Scenario,15,FALSE)*HLOOKUP(Mammal_Chronic[[#This Row],[Crop]],Input_Scenario,8,FALSE)*Mammal_Chronic[[#This Row],[SVm]],""),"")</f>
        <v/>
      </c>
      <c r="R106" s="370" t="str">
        <f ca="1">IF($B$3&lt;&gt;"Passive",IFERROR(IF(ISNUMBER(INDEX(Active[M_NOAEL], 5)),
                          INDEX(Active[M_NOAEL], 5)/Q106,""),""),"")</f>
        <v/>
      </c>
    </row>
    <row r="107" spans="1:18">
      <c r="A107" s="56"/>
      <c r="B107" s="314" t="str">
        <f t="shared" ca="1" si="3"/>
        <v>No input</v>
      </c>
      <c r="C107" s="72" t="s">
        <v>167</v>
      </c>
      <c r="D107" s="73" t="s">
        <v>258</v>
      </c>
      <c r="E107" s="73" t="s">
        <v>273</v>
      </c>
      <c r="F107" s="113">
        <v>57.8</v>
      </c>
      <c r="G107" s="203" t="str">
        <f ca="1">IF(AND(Mammal_Chronic[[#This Row],[Relevance]]="Input provided", Count&gt;=1),
       IF(M_ChronicScheme="C(mix)",
                 HLOOKUP(Mammal_Chronic[[#This Row],[Crop]], Input_Scenario,10,FALSE)*Mammal_Chronic[[#This Row],[SVm]]*HLOOKUP(Mammal_Chronic[[#This Row],[Crop]],Input_Scenario,8,FALSE),""),"")</f>
        <v/>
      </c>
      <c r="H107" s="368" t="str">
        <f t="shared" si="4"/>
        <v/>
      </c>
      <c r="I107" s="370" t="str">
        <f>IFERROR(IF(Active1=TRUE,HLOOKUP(Mammal_Chronic[[#This Row],[Crop]],Input_Scenario,11,FALSE)*HLOOKUP(Mammal_Chronic[[#This Row],[Crop]],Input_Scenario,8,FALSE)*Mammal_Chronic[[#This Row],[SVm]],""),"")</f>
        <v/>
      </c>
      <c r="J107" s="370" t="str">
        <f t="shared" ca="1" si="5"/>
        <v/>
      </c>
      <c r="K107" s="370" t="str">
        <f>IFERROR(IF(Active2=TRUE,HLOOKUP(Mammal_Chronic[[#This Row],[Crop]],Input_Scenario,12,FALSE)*HLOOKUP(Mammal_Chronic[[#This Row],[Crop]],Input_Scenario,8,FALSE)*Mammal_Chronic[[#This Row],[SVm]],""),"")</f>
        <v/>
      </c>
      <c r="L107" s="370" t="str">
        <f ca="1">IF($B$3&lt;&gt;"Passive",IFERROR(IF(ISNUMBER(INDEX(Active[M_NOAEL], 2)),
                          INDEX(Active[M_NOAEL], 2)/K107,""),""),"")</f>
        <v/>
      </c>
      <c r="M107" s="370" t="str">
        <f>IFERROR(IF(Active3=TRUE,HLOOKUP(Mammal_Chronic[[#This Row],[Crop]],Input_Scenario,13,FALSE)*HLOOKUP(Mammal_Chronic[[#This Row],[Crop]],Input_Scenario,8,FALSE)*Mammal_Chronic[[#This Row],[SVm]],""),"")</f>
        <v/>
      </c>
      <c r="N107" s="370" t="str">
        <f ca="1">IF($B$3&lt;&gt;"Passive",IFERROR(IF(ISNUMBER(INDEX(Active[M_NOAEL], 3)),
                          INDEX(Active[M_NOAEL], 3)/M107,""),""),"")</f>
        <v/>
      </c>
      <c r="O107" s="370" t="str">
        <f>IFERROR(IF(Active4=TRUE,HLOOKUP(Mammal_Chronic[[#This Row],[Crop]],Input_Scenario,14,FALSE)*HLOOKUP(Mammal_Chronic[[#This Row],[Crop]],Input_Scenario,8,FALSE)*Mammal_Chronic[[#This Row],[SVm]],""),"")</f>
        <v/>
      </c>
      <c r="P107" s="370" t="str">
        <f ca="1">IF($B$3&lt;&gt;"Passive",IFERROR(IF(ISNUMBER(INDEX(Active[M_NOAEL], 4)),
                          INDEX(Active[M_NOAEL], 4)/O107,""),""),"")</f>
        <v/>
      </c>
      <c r="Q107" s="370" t="str">
        <f>IFERROR(IF(Active5=TRUE,HLOOKUP(Mammal_Chronic[[#This Row],[Crop]],Input_Scenario,15,FALSE)*HLOOKUP(Mammal_Chronic[[#This Row],[Crop]],Input_Scenario,8,FALSE)*Mammal_Chronic[[#This Row],[SVm]],""),"")</f>
        <v/>
      </c>
      <c r="R107" s="370" t="str">
        <f ca="1">IF($B$3&lt;&gt;"Passive",IFERROR(IF(ISNUMBER(INDEX(Active[M_NOAEL], 5)),
                          INDEX(Active[M_NOAEL], 5)/Q107,""),""),"")</f>
        <v/>
      </c>
    </row>
    <row r="108" spans="1:18">
      <c r="A108" s="56"/>
      <c r="B108" s="314" t="str">
        <f t="shared" ca="1" si="3"/>
        <v>No input</v>
      </c>
      <c r="C108" s="72" t="s">
        <v>167</v>
      </c>
      <c r="D108" s="73" t="s">
        <v>258</v>
      </c>
      <c r="E108" s="73" t="s">
        <v>275</v>
      </c>
      <c r="F108" s="113">
        <v>11.5</v>
      </c>
      <c r="G108" s="203" t="str">
        <f ca="1">IF(AND(Mammal_Chronic[[#This Row],[Relevance]]="Input provided", Count&gt;=1),
       IF(M_ChronicScheme="C(mix)",
                 HLOOKUP(Mammal_Chronic[[#This Row],[Crop]], Input_Scenario,10,FALSE)*Mammal_Chronic[[#This Row],[SVm]]*HLOOKUP(Mammal_Chronic[[#This Row],[Crop]],Input_Scenario,8,FALSE),""),"")</f>
        <v/>
      </c>
      <c r="H108" s="368" t="str">
        <f t="shared" si="4"/>
        <v/>
      </c>
      <c r="I108" s="370" t="str">
        <f>IFERROR(IF(Active1=TRUE,HLOOKUP(Mammal_Chronic[[#This Row],[Crop]],Input_Scenario,11,FALSE)*HLOOKUP(Mammal_Chronic[[#This Row],[Crop]],Input_Scenario,8,FALSE)*Mammal_Chronic[[#This Row],[SVm]],""),"")</f>
        <v/>
      </c>
      <c r="J108" s="370" t="str">
        <f t="shared" ca="1" si="5"/>
        <v/>
      </c>
      <c r="K108" s="370" t="str">
        <f>IFERROR(IF(Active2=TRUE,HLOOKUP(Mammal_Chronic[[#This Row],[Crop]],Input_Scenario,12,FALSE)*HLOOKUP(Mammal_Chronic[[#This Row],[Crop]],Input_Scenario,8,FALSE)*Mammal_Chronic[[#This Row],[SVm]],""),"")</f>
        <v/>
      </c>
      <c r="L108" s="370" t="str">
        <f ca="1">IF($B$3&lt;&gt;"Passive",IFERROR(IF(ISNUMBER(INDEX(Active[M_NOAEL], 2)),
                          INDEX(Active[M_NOAEL], 2)/K108,""),""),"")</f>
        <v/>
      </c>
      <c r="M108" s="370" t="str">
        <f>IFERROR(IF(Active3=TRUE,HLOOKUP(Mammal_Chronic[[#This Row],[Crop]],Input_Scenario,13,FALSE)*HLOOKUP(Mammal_Chronic[[#This Row],[Crop]],Input_Scenario,8,FALSE)*Mammal_Chronic[[#This Row],[SVm]],""),"")</f>
        <v/>
      </c>
      <c r="N108" s="370" t="str">
        <f ca="1">IF($B$3&lt;&gt;"Passive",IFERROR(IF(ISNUMBER(INDEX(Active[M_NOAEL], 3)),
                          INDEX(Active[M_NOAEL], 3)/M108,""),""),"")</f>
        <v/>
      </c>
      <c r="O108" s="370" t="str">
        <f>IFERROR(IF(Active4=TRUE,HLOOKUP(Mammal_Chronic[[#This Row],[Crop]],Input_Scenario,14,FALSE)*HLOOKUP(Mammal_Chronic[[#This Row],[Crop]],Input_Scenario,8,FALSE)*Mammal_Chronic[[#This Row],[SVm]],""),"")</f>
        <v/>
      </c>
      <c r="P108" s="370" t="str">
        <f ca="1">IF($B$3&lt;&gt;"Passive",IFERROR(IF(ISNUMBER(INDEX(Active[M_NOAEL], 4)),
                          INDEX(Active[M_NOAEL], 4)/O108,""),""),"")</f>
        <v/>
      </c>
      <c r="Q108" s="370" t="str">
        <f>IFERROR(IF(Active5=TRUE,HLOOKUP(Mammal_Chronic[[#This Row],[Crop]],Input_Scenario,15,FALSE)*HLOOKUP(Mammal_Chronic[[#This Row],[Crop]],Input_Scenario,8,FALSE)*Mammal_Chronic[[#This Row],[SVm]],""),"")</f>
        <v/>
      </c>
      <c r="R108" s="370" t="str">
        <f ca="1">IF($B$3&lt;&gt;"Passive",IFERROR(IF(ISNUMBER(INDEX(Active[M_NOAEL], 5)),
                          INDEX(Active[M_NOAEL], 5)/Q108,""),""),"")</f>
        <v/>
      </c>
    </row>
    <row r="109" spans="1:18">
      <c r="A109" s="56"/>
      <c r="B109" s="314" t="str">
        <f t="shared" ca="1" si="3"/>
        <v>No input</v>
      </c>
      <c r="C109" s="72" t="s">
        <v>167</v>
      </c>
      <c r="D109" s="73" t="s">
        <v>258</v>
      </c>
      <c r="E109" s="73" t="s">
        <v>271</v>
      </c>
      <c r="F109" s="113">
        <v>6.2</v>
      </c>
      <c r="G109" s="203" t="str">
        <f ca="1">IF(AND(Mammal_Chronic[[#This Row],[Relevance]]="Input provided", Count&gt;=1),
       IF(M_ChronicScheme="C(mix)",
                 HLOOKUP(Mammal_Chronic[[#This Row],[Crop]], Input_Scenario,10,FALSE)*Mammal_Chronic[[#This Row],[SVm]]*HLOOKUP(Mammal_Chronic[[#This Row],[Crop]],Input_Scenario,8,FALSE),""),"")</f>
        <v/>
      </c>
      <c r="H109" s="368" t="str">
        <f t="shared" si="4"/>
        <v/>
      </c>
      <c r="I109" s="370" t="str">
        <f>IFERROR(IF(Active1=TRUE,HLOOKUP(Mammal_Chronic[[#This Row],[Crop]],Input_Scenario,11,FALSE)*HLOOKUP(Mammal_Chronic[[#This Row],[Crop]],Input_Scenario,8,FALSE)*Mammal_Chronic[[#This Row],[SVm]],""),"")</f>
        <v/>
      </c>
      <c r="J109" s="370" t="str">
        <f t="shared" ca="1" si="5"/>
        <v/>
      </c>
      <c r="K109" s="370" t="str">
        <f>IFERROR(IF(Active2=TRUE,HLOOKUP(Mammal_Chronic[[#This Row],[Crop]],Input_Scenario,12,FALSE)*HLOOKUP(Mammal_Chronic[[#This Row],[Crop]],Input_Scenario,8,FALSE)*Mammal_Chronic[[#This Row],[SVm]],""),"")</f>
        <v/>
      </c>
      <c r="L109" s="370" t="str">
        <f ca="1">IF($B$3&lt;&gt;"Passive",IFERROR(IF(ISNUMBER(INDEX(Active[M_NOAEL], 2)),
                          INDEX(Active[M_NOAEL], 2)/K109,""),""),"")</f>
        <v/>
      </c>
      <c r="M109" s="370" t="str">
        <f>IFERROR(IF(Active3=TRUE,HLOOKUP(Mammal_Chronic[[#This Row],[Crop]],Input_Scenario,13,FALSE)*HLOOKUP(Mammal_Chronic[[#This Row],[Crop]],Input_Scenario,8,FALSE)*Mammal_Chronic[[#This Row],[SVm]],""),"")</f>
        <v/>
      </c>
      <c r="N109" s="370" t="str">
        <f ca="1">IF($B$3&lt;&gt;"Passive",IFERROR(IF(ISNUMBER(INDEX(Active[M_NOAEL], 3)),
                          INDEX(Active[M_NOAEL], 3)/M109,""),""),"")</f>
        <v/>
      </c>
      <c r="O109" s="370" t="str">
        <f>IFERROR(IF(Active4=TRUE,HLOOKUP(Mammal_Chronic[[#This Row],[Crop]],Input_Scenario,14,FALSE)*HLOOKUP(Mammal_Chronic[[#This Row],[Crop]],Input_Scenario,8,FALSE)*Mammal_Chronic[[#This Row],[SVm]],""),"")</f>
        <v/>
      </c>
      <c r="P109" s="370" t="str">
        <f ca="1">IF($B$3&lt;&gt;"Passive",IFERROR(IF(ISNUMBER(INDEX(Active[M_NOAEL], 4)),
                          INDEX(Active[M_NOAEL], 4)/O109,""),""),"")</f>
        <v/>
      </c>
      <c r="Q109" s="370" t="str">
        <f>IFERROR(IF(Active5=TRUE,HLOOKUP(Mammal_Chronic[[#This Row],[Crop]],Input_Scenario,15,FALSE)*HLOOKUP(Mammal_Chronic[[#This Row],[Crop]],Input_Scenario,8,FALSE)*Mammal_Chronic[[#This Row],[SVm]],""),"")</f>
        <v/>
      </c>
      <c r="R109" s="370" t="str">
        <f ca="1">IF($B$3&lt;&gt;"Passive",IFERROR(IF(ISNUMBER(INDEX(Active[M_NOAEL], 5)),
                          INDEX(Active[M_NOAEL], 5)/Q109,""),""),"")</f>
        <v/>
      </c>
    </row>
    <row r="110" spans="1:18">
      <c r="A110" s="56"/>
      <c r="B110" s="314" t="str">
        <f t="shared" ca="1" si="3"/>
        <v>No input</v>
      </c>
      <c r="C110" s="72" t="s">
        <v>167</v>
      </c>
      <c r="D110" s="73" t="s">
        <v>259</v>
      </c>
      <c r="E110" s="73" t="s">
        <v>273</v>
      </c>
      <c r="F110" s="113">
        <v>43.4</v>
      </c>
      <c r="G110" s="203" t="str">
        <f ca="1">IF(AND(Mammal_Chronic[[#This Row],[Relevance]]="Input provided", Count&gt;=1),
       IF(M_ChronicScheme="C(mix)",
                 HLOOKUP(Mammal_Chronic[[#This Row],[Crop]], Input_Scenario,10,FALSE)*Mammal_Chronic[[#This Row],[SVm]]*HLOOKUP(Mammal_Chronic[[#This Row],[Crop]],Input_Scenario,8,FALSE),""),"")</f>
        <v/>
      </c>
      <c r="H110" s="368" t="str">
        <f t="shared" si="4"/>
        <v/>
      </c>
      <c r="I110" s="370" t="str">
        <f>IFERROR(IF(Active1=TRUE,HLOOKUP(Mammal_Chronic[[#This Row],[Crop]],Input_Scenario,11,FALSE)*HLOOKUP(Mammal_Chronic[[#This Row],[Crop]],Input_Scenario,8,FALSE)*Mammal_Chronic[[#This Row],[SVm]],""),"")</f>
        <v/>
      </c>
      <c r="J110" s="370" t="str">
        <f t="shared" ca="1" si="5"/>
        <v/>
      </c>
      <c r="K110" s="370" t="str">
        <f>IFERROR(IF(Active2=TRUE,HLOOKUP(Mammal_Chronic[[#This Row],[Crop]],Input_Scenario,12,FALSE)*HLOOKUP(Mammal_Chronic[[#This Row],[Crop]],Input_Scenario,8,FALSE)*Mammal_Chronic[[#This Row],[SVm]],""),"")</f>
        <v/>
      </c>
      <c r="L110" s="370" t="str">
        <f ca="1">IF($B$3&lt;&gt;"Passive",IFERROR(IF(ISNUMBER(INDEX(Active[M_NOAEL], 2)),
                          INDEX(Active[M_NOAEL], 2)/K110,""),""),"")</f>
        <v/>
      </c>
      <c r="M110" s="370" t="str">
        <f>IFERROR(IF(Active3=TRUE,HLOOKUP(Mammal_Chronic[[#This Row],[Crop]],Input_Scenario,13,FALSE)*HLOOKUP(Mammal_Chronic[[#This Row],[Crop]],Input_Scenario,8,FALSE)*Mammal_Chronic[[#This Row],[SVm]],""),"")</f>
        <v/>
      </c>
      <c r="N110" s="370" t="str">
        <f ca="1">IF($B$3&lt;&gt;"Passive",IFERROR(IF(ISNUMBER(INDEX(Active[M_NOAEL], 3)),
                          INDEX(Active[M_NOAEL], 3)/M110,""),""),"")</f>
        <v/>
      </c>
      <c r="O110" s="370" t="str">
        <f>IFERROR(IF(Active4=TRUE,HLOOKUP(Mammal_Chronic[[#This Row],[Crop]],Input_Scenario,14,FALSE)*HLOOKUP(Mammal_Chronic[[#This Row],[Crop]],Input_Scenario,8,FALSE)*Mammal_Chronic[[#This Row],[SVm]],""),"")</f>
        <v/>
      </c>
      <c r="P110" s="370" t="str">
        <f ca="1">IF($B$3&lt;&gt;"Passive",IFERROR(IF(ISNUMBER(INDEX(Active[M_NOAEL], 4)),
                          INDEX(Active[M_NOAEL], 4)/O110,""),""),"")</f>
        <v/>
      </c>
      <c r="Q110" s="370" t="str">
        <f>IFERROR(IF(Active5=TRUE,HLOOKUP(Mammal_Chronic[[#This Row],[Crop]],Input_Scenario,15,FALSE)*HLOOKUP(Mammal_Chronic[[#This Row],[Crop]],Input_Scenario,8,FALSE)*Mammal_Chronic[[#This Row],[SVm]],""),"")</f>
        <v/>
      </c>
      <c r="R110" s="370" t="str">
        <f ca="1">IF($B$3&lt;&gt;"Passive",IFERROR(IF(ISNUMBER(INDEX(Active[M_NOAEL], 5)),
                          INDEX(Active[M_NOAEL], 5)/Q110,""),""),"")</f>
        <v/>
      </c>
    </row>
    <row r="111" spans="1:18">
      <c r="A111" s="56"/>
      <c r="B111" s="314" t="str">
        <f t="shared" ca="1" si="3"/>
        <v>No input</v>
      </c>
      <c r="C111" s="72" t="s">
        <v>167</v>
      </c>
      <c r="D111" s="73" t="s">
        <v>259</v>
      </c>
      <c r="E111" s="73" t="s">
        <v>275</v>
      </c>
      <c r="F111" s="113">
        <v>8.6</v>
      </c>
      <c r="G111" s="203" t="str">
        <f ca="1">IF(AND(Mammal_Chronic[[#This Row],[Relevance]]="Input provided", Count&gt;=1),
       IF(M_ChronicScheme="C(mix)",
                 HLOOKUP(Mammal_Chronic[[#This Row],[Crop]], Input_Scenario,10,FALSE)*Mammal_Chronic[[#This Row],[SVm]]*HLOOKUP(Mammal_Chronic[[#This Row],[Crop]],Input_Scenario,8,FALSE),""),"")</f>
        <v/>
      </c>
      <c r="H111" s="368" t="str">
        <f t="shared" si="4"/>
        <v/>
      </c>
      <c r="I111" s="370" t="str">
        <f>IFERROR(IF(Active1=TRUE,HLOOKUP(Mammal_Chronic[[#This Row],[Crop]],Input_Scenario,11,FALSE)*HLOOKUP(Mammal_Chronic[[#This Row],[Crop]],Input_Scenario,8,FALSE)*Mammal_Chronic[[#This Row],[SVm]],""),"")</f>
        <v/>
      </c>
      <c r="J111" s="370" t="str">
        <f t="shared" ca="1" si="5"/>
        <v/>
      </c>
      <c r="K111" s="370" t="str">
        <f>IFERROR(IF(Active2=TRUE,HLOOKUP(Mammal_Chronic[[#This Row],[Crop]],Input_Scenario,12,FALSE)*HLOOKUP(Mammal_Chronic[[#This Row],[Crop]],Input_Scenario,8,FALSE)*Mammal_Chronic[[#This Row],[SVm]],""),"")</f>
        <v/>
      </c>
      <c r="L111" s="370" t="str">
        <f ca="1">IF($B$3&lt;&gt;"Passive",IFERROR(IF(ISNUMBER(INDEX(Active[M_NOAEL], 2)),
                          INDEX(Active[M_NOAEL], 2)/K111,""),""),"")</f>
        <v/>
      </c>
      <c r="M111" s="370" t="str">
        <f>IFERROR(IF(Active3=TRUE,HLOOKUP(Mammal_Chronic[[#This Row],[Crop]],Input_Scenario,13,FALSE)*HLOOKUP(Mammal_Chronic[[#This Row],[Crop]],Input_Scenario,8,FALSE)*Mammal_Chronic[[#This Row],[SVm]],""),"")</f>
        <v/>
      </c>
      <c r="N111" s="370" t="str">
        <f ca="1">IF($B$3&lt;&gt;"Passive",IFERROR(IF(ISNUMBER(INDEX(Active[M_NOAEL], 3)),
                          INDEX(Active[M_NOAEL], 3)/M111,""),""),"")</f>
        <v/>
      </c>
      <c r="O111" s="370" t="str">
        <f>IFERROR(IF(Active4=TRUE,HLOOKUP(Mammal_Chronic[[#This Row],[Crop]],Input_Scenario,14,FALSE)*HLOOKUP(Mammal_Chronic[[#This Row],[Crop]],Input_Scenario,8,FALSE)*Mammal_Chronic[[#This Row],[SVm]],""),"")</f>
        <v/>
      </c>
      <c r="P111" s="370" t="str">
        <f ca="1">IF($B$3&lt;&gt;"Passive",IFERROR(IF(ISNUMBER(INDEX(Active[M_NOAEL], 4)),
                          INDEX(Active[M_NOAEL], 4)/O111,""),""),"")</f>
        <v/>
      </c>
      <c r="Q111" s="370" t="str">
        <f>IFERROR(IF(Active5=TRUE,HLOOKUP(Mammal_Chronic[[#This Row],[Crop]],Input_Scenario,15,FALSE)*HLOOKUP(Mammal_Chronic[[#This Row],[Crop]],Input_Scenario,8,FALSE)*Mammal_Chronic[[#This Row],[SVm]],""),"")</f>
        <v/>
      </c>
      <c r="R111" s="370" t="str">
        <f ca="1">IF($B$3&lt;&gt;"Passive",IFERROR(IF(ISNUMBER(INDEX(Active[M_NOAEL], 5)),
                          INDEX(Active[M_NOAEL], 5)/Q111,""),""),"")</f>
        <v/>
      </c>
    </row>
    <row r="112" spans="1:18">
      <c r="A112" s="56"/>
      <c r="B112" s="314" t="str">
        <f t="shared" ca="1" si="3"/>
        <v>No input</v>
      </c>
      <c r="C112" s="72" t="s">
        <v>167</v>
      </c>
      <c r="D112" s="73" t="s">
        <v>259</v>
      </c>
      <c r="E112" s="73" t="s">
        <v>271</v>
      </c>
      <c r="F112" s="113">
        <v>4.7</v>
      </c>
      <c r="G112" s="203" t="str">
        <f ca="1">IF(AND(Mammal_Chronic[[#This Row],[Relevance]]="Input provided", Count&gt;=1),
       IF(M_ChronicScheme="C(mix)",
                 HLOOKUP(Mammal_Chronic[[#This Row],[Crop]], Input_Scenario,10,FALSE)*Mammal_Chronic[[#This Row],[SVm]]*HLOOKUP(Mammal_Chronic[[#This Row],[Crop]],Input_Scenario,8,FALSE),""),"")</f>
        <v/>
      </c>
      <c r="H112" s="368" t="str">
        <f t="shared" si="4"/>
        <v/>
      </c>
      <c r="I112" s="370" t="str">
        <f>IFERROR(IF(Active1=TRUE,HLOOKUP(Mammal_Chronic[[#This Row],[Crop]],Input_Scenario,11,FALSE)*HLOOKUP(Mammal_Chronic[[#This Row],[Crop]],Input_Scenario,8,FALSE)*Mammal_Chronic[[#This Row],[SVm]],""),"")</f>
        <v/>
      </c>
      <c r="J112" s="370" t="str">
        <f t="shared" ca="1" si="5"/>
        <v/>
      </c>
      <c r="K112" s="370" t="str">
        <f>IFERROR(IF(Active2=TRUE,HLOOKUP(Mammal_Chronic[[#This Row],[Crop]],Input_Scenario,12,FALSE)*HLOOKUP(Mammal_Chronic[[#This Row],[Crop]],Input_Scenario,8,FALSE)*Mammal_Chronic[[#This Row],[SVm]],""),"")</f>
        <v/>
      </c>
      <c r="L112" s="370" t="str">
        <f ca="1">IF($B$3&lt;&gt;"Passive",IFERROR(IF(ISNUMBER(INDEX(Active[M_NOAEL], 2)),
                          INDEX(Active[M_NOAEL], 2)/K112,""),""),"")</f>
        <v/>
      </c>
      <c r="M112" s="370" t="str">
        <f>IFERROR(IF(Active3=TRUE,HLOOKUP(Mammal_Chronic[[#This Row],[Crop]],Input_Scenario,13,FALSE)*HLOOKUP(Mammal_Chronic[[#This Row],[Crop]],Input_Scenario,8,FALSE)*Mammal_Chronic[[#This Row],[SVm]],""),"")</f>
        <v/>
      </c>
      <c r="N112" s="370" t="str">
        <f ca="1">IF($B$3&lt;&gt;"Passive",IFERROR(IF(ISNUMBER(INDEX(Active[M_NOAEL], 3)),
                          INDEX(Active[M_NOAEL], 3)/M112,""),""),"")</f>
        <v/>
      </c>
      <c r="O112" s="370" t="str">
        <f>IFERROR(IF(Active4=TRUE,HLOOKUP(Mammal_Chronic[[#This Row],[Crop]],Input_Scenario,14,FALSE)*HLOOKUP(Mammal_Chronic[[#This Row],[Crop]],Input_Scenario,8,FALSE)*Mammal_Chronic[[#This Row],[SVm]],""),"")</f>
        <v/>
      </c>
      <c r="P112" s="370" t="str">
        <f ca="1">IF($B$3&lt;&gt;"Passive",IFERROR(IF(ISNUMBER(INDEX(Active[M_NOAEL], 4)),
                          INDEX(Active[M_NOAEL], 4)/O112,""),""),"")</f>
        <v/>
      </c>
      <c r="Q112" s="370" t="str">
        <f>IFERROR(IF(Active5=TRUE,HLOOKUP(Mammal_Chronic[[#This Row],[Crop]],Input_Scenario,15,FALSE)*HLOOKUP(Mammal_Chronic[[#This Row],[Crop]],Input_Scenario,8,FALSE)*Mammal_Chronic[[#This Row],[SVm]],""),"")</f>
        <v/>
      </c>
      <c r="R112" s="370" t="str">
        <f ca="1">IF($B$3&lt;&gt;"Passive",IFERROR(IF(ISNUMBER(INDEX(Active[M_NOAEL], 5)),
                          INDEX(Active[M_NOAEL], 5)/Q112,""),""),"")</f>
        <v/>
      </c>
    </row>
    <row r="113" spans="1:18">
      <c r="A113" s="56"/>
      <c r="B113" s="314" t="str">
        <f t="shared" ca="1" si="3"/>
        <v>No input</v>
      </c>
      <c r="C113" s="72" t="s">
        <v>167</v>
      </c>
      <c r="D113" s="73" t="s">
        <v>245</v>
      </c>
      <c r="E113" s="73" t="s">
        <v>278</v>
      </c>
      <c r="F113" s="113">
        <v>22.7</v>
      </c>
      <c r="G113" s="203" t="str">
        <f ca="1">IF(AND(Mammal_Chronic[[#This Row],[Relevance]]="Input provided", Count&gt;=1),
       IF(M_ChronicScheme="C(mix)",
                 HLOOKUP(Mammal_Chronic[[#This Row],[Crop]], Input_Scenario,10,FALSE)*Mammal_Chronic[[#This Row],[SVm]]*HLOOKUP(Mammal_Chronic[[#This Row],[Crop]],Input_Scenario,8,FALSE),""),"")</f>
        <v/>
      </c>
      <c r="H113" s="368" t="str">
        <f t="shared" si="4"/>
        <v/>
      </c>
      <c r="I113" s="370" t="str">
        <f>IFERROR(IF(Active1=TRUE,HLOOKUP(Mammal_Chronic[[#This Row],[Crop]],Input_Scenario,11,FALSE)*HLOOKUP(Mammal_Chronic[[#This Row],[Crop]],Input_Scenario,8,FALSE)*Mammal_Chronic[[#This Row],[SVm]],""),"")</f>
        <v/>
      </c>
      <c r="J113" s="370" t="str">
        <f t="shared" ca="1" si="5"/>
        <v/>
      </c>
      <c r="K113" s="370" t="str">
        <f>IFERROR(IF(Active2=TRUE,HLOOKUP(Mammal_Chronic[[#This Row],[Crop]],Input_Scenario,12,FALSE)*HLOOKUP(Mammal_Chronic[[#This Row],[Crop]],Input_Scenario,8,FALSE)*Mammal_Chronic[[#This Row],[SVm]],""),"")</f>
        <v/>
      </c>
      <c r="L113" s="370" t="str">
        <f ca="1">IF($B$3&lt;&gt;"Passive",IFERROR(IF(ISNUMBER(INDEX(Active[M_NOAEL], 2)),
                          INDEX(Active[M_NOAEL], 2)/K113,""),""),"")</f>
        <v/>
      </c>
      <c r="M113" s="370" t="str">
        <f>IFERROR(IF(Active3=TRUE,HLOOKUP(Mammal_Chronic[[#This Row],[Crop]],Input_Scenario,13,FALSE)*HLOOKUP(Mammal_Chronic[[#This Row],[Crop]],Input_Scenario,8,FALSE)*Mammal_Chronic[[#This Row],[SVm]],""),"")</f>
        <v/>
      </c>
      <c r="N113" s="370" t="str">
        <f ca="1">IF($B$3&lt;&gt;"Passive",IFERROR(IF(ISNUMBER(INDEX(Active[M_NOAEL], 3)),
                          INDEX(Active[M_NOAEL], 3)/M113,""),""),"")</f>
        <v/>
      </c>
      <c r="O113" s="370" t="str">
        <f>IFERROR(IF(Active4=TRUE,HLOOKUP(Mammal_Chronic[[#This Row],[Crop]],Input_Scenario,14,FALSE)*HLOOKUP(Mammal_Chronic[[#This Row],[Crop]],Input_Scenario,8,FALSE)*Mammal_Chronic[[#This Row],[SVm]],""),"")</f>
        <v/>
      </c>
      <c r="P113" s="370" t="str">
        <f ca="1">IF($B$3&lt;&gt;"Passive",IFERROR(IF(ISNUMBER(INDEX(Active[M_NOAEL], 4)),
                          INDEX(Active[M_NOAEL], 4)/O113,""),""),"")</f>
        <v/>
      </c>
      <c r="Q113" s="370" t="str">
        <f>IFERROR(IF(Active5=TRUE,HLOOKUP(Mammal_Chronic[[#This Row],[Crop]],Input_Scenario,15,FALSE)*HLOOKUP(Mammal_Chronic[[#This Row],[Crop]],Input_Scenario,8,FALSE)*Mammal_Chronic[[#This Row],[SVm]],""),"")</f>
        <v/>
      </c>
      <c r="R113" s="370" t="str">
        <f ca="1">IF($B$3&lt;&gt;"Passive",IFERROR(IF(ISNUMBER(INDEX(Active[M_NOAEL], 5)),
                          INDEX(Active[M_NOAEL], 5)/Q113,""),""),"")</f>
        <v/>
      </c>
    </row>
    <row r="114" spans="1:18">
      <c r="A114" s="56"/>
      <c r="B114" s="314" t="str">
        <f t="shared" ca="1" si="3"/>
        <v>No input</v>
      </c>
      <c r="C114" s="72" t="s">
        <v>167</v>
      </c>
      <c r="D114" s="73" t="s">
        <v>261</v>
      </c>
      <c r="E114" s="73" t="s">
        <v>272</v>
      </c>
      <c r="F114" s="113">
        <v>1.9</v>
      </c>
      <c r="G114" s="203" t="str">
        <f ca="1">IF(AND(Mammal_Chronic[[#This Row],[Relevance]]="Input provided", Count&gt;=1),
       IF(M_ChronicScheme="C(mix)",
                 HLOOKUP(Mammal_Chronic[[#This Row],[Crop]], Input_Scenario,10,FALSE)*Mammal_Chronic[[#This Row],[SVm]]*HLOOKUP(Mammal_Chronic[[#This Row],[Crop]],Input_Scenario,8,FALSE),""),"")</f>
        <v/>
      </c>
      <c r="H114" s="368" t="str">
        <f t="shared" si="4"/>
        <v/>
      </c>
      <c r="I114" s="370" t="str">
        <f>IFERROR(IF(Active1=TRUE,HLOOKUP(Mammal_Chronic[[#This Row],[Crop]],Input_Scenario,11,FALSE)*HLOOKUP(Mammal_Chronic[[#This Row],[Crop]],Input_Scenario,8,FALSE)*Mammal_Chronic[[#This Row],[SVm]],""),"")</f>
        <v/>
      </c>
      <c r="J114" s="370" t="str">
        <f t="shared" ca="1" si="5"/>
        <v/>
      </c>
      <c r="K114" s="370" t="str">
        <f>IFERROR(IF(Active2=TRUE,HLOOKUP(Mammal_Chronic[[#This Row],[Crop]],Input_Scenario,12,FALSE)*HLOOKUP(Mammal_Chronic[[#This Row],[Crop]],Input_Scenario,8,FALSE)*Mammal_Chronic[[#This Row],[SVm]],""),"")</f>
        <v/>
      </c>
      <c r="L114" s="370" t="str">
        <f ca="1">IF($B$3&lt;&gt;"Passive",IFERROR(IF(ISNUMBER(INDEX(Active[M_NOAEL], 2)),
                          INDEX(Active[M_NOAEL], 2)/K114,""),""),"")</f>
        <v/>
      </c>
      <c r="M114" s="370" t="str">
        <f>IFERROR(IF(Active3=TRUE,HLOOKUP(Mammal_Chronic[[#This Row],[Crop]],Input_Scenario,13,FALSE)*HLOOKUP(Mammal_Chronic[[#This Row],[Crop]],Input_Scenario,8,FALSE)*Mammal_Chronic[[#This Row],[SVm]],""),"")</f>
        <v/>
      </c>
      <c r="N114" s="370" t="str">
        <f ca="1">IF($B$3&lt;&gt;"Passive",IFERROR(IF(ISNUMBER(INDEX(Active[M_NOAEL], 3)),
                          INDEX(Active[M_NOAEL], 3)/M114,""),""),"")</f>
        <v/>
      </c>
      <c r="O114" s="370" t="str">
        <f>IFERROR(IF(Active4=TRUE,HLOOKUP(Mammal_Chronic[[#This Row],[Crop]],Input_Scenario,14,FALSE)*HLOOKUP(Mammal_Chronic[[#This Row],[Crop]],Input_Scenario,8,FALSE)*Mammal_Chronic[[#This Row],[SVm]],""),"")</f>
        <v/>
      </c>
      <c r="P114" s="370" t="str">
        <f ca="1">IF($B$3&lt;&gt;"Passive",IFERROR(IF(ISNUMBER(INDEX(Active[M_NOAEL], 4)),
                          INDEX(Active[M_NOAEL], 4)/O114,""),""),"")</f>
        <v/>
      </c>
      <c r="Q114" s="370" t="str">
        <f>IFERROR(IF(Active5=TRUE,HLOOKUP(Mammal_Chronic[[#This Row],[Crop]],Input_Scenario,15,FALSE)*HLOOKUP(Mammal_Chronic[[#This Row],[Crop]],Input_Scenario,8,FALSE)*Mammal_Chronic[[#This Row],[SVm]],""),"")</f>
        <v/>
      </c>
      <c r="R114" s="370" t="str">
        <f ca="1">IF($B$3&lt;&gt;"Passive",IFERROR(IF(ISNUMBER(INDEX(Active[M_NOAEL], 5)),
                          INDEX(Active[M_NOAEL], 5)/Q114,""),""),"")</f>
        <v/>
      </c>
    </row>
    <row r="115" spans="1:18">
      <c r="A115" s="56"/>
      <c r="B115" s="314" t="str">
        <f t="shared" ca="1" si="3"/>
        <v>No input</v>
      </c>
      <c r="C115" s="72" t="s">
        <v>167</v>
      </c>
      <c r="D115" s="73" t="s">
        <v>261</v>
      </c>
      <c r="E115" s="73" t="s">
        <v>273</v>
      </c>
      <c r="F115" s="113">
        <v>72.3</v>
      </c>
      <c r="G115" s="203" t="str">
        <f ca="1">IF(AND(Mammal_Chronic[[#This Row],[Relevance]]="Input provided", Count&gt;=1),
       IF(M_ChronicScheme="C(mix)",
                 HLOOKUP(Mammal_Chronic[[#This Row],[Crop]], Input_Scenario,10,FALSE)*Mammal_Chronic[[#This Row],[SVm]]*HLOOKUP(Mammal_Chronic[[#This Row],[Crop]],Input_Scenario,8,FALSE),""),"")</f>
        <v/>
      </c>
      <c r="H115" s="368" t="str">
        <f t="shared" si="4"/>
        <v/>
      </c>
      <c r="I115" s="370" t="str">
        <f>IFERROR(IF(Active1=TRUE,HLOOKUP(Mammal_Chronic[[#This Row],[Crop]],Input_Scenario,11,FALSE)*HLOOKUP(Mammal_Chronic[[#This Row],[Crop]],Input_Scenario,8,FALSE)*Mammal_Chronic[[#This Row],[SVm]],""),"")</f>
        <v/>
      </c>
      <c r="J115" s="370" t="str">
        <f t="shared" ca="1" si="5"/>
        <v/>
      </c>
      <c r="K115" s="370" t="str">
        <f>IFERROR(IF(Active2=TRUE,HLOOKUP(Mammal_Chronic[[#This Row],[Crop]],Input_Scenario,12,FALSE)*HLOOKUP(Mammal_Chronic[[#This Row],[Crop]],Input_Scenario,8,FALSE)*Mammal_Chronic[[#This Row],[SVm]],""),"")</f>
        <v/>
      </c>
      <c r="L115" s="370" t="str">
        <f ca="1">IF($B$3&lt;&gt;"Passive",IFERROR(IF(ISNUMBER(INDEX(Active[M_NOAEL], 2)),
                          INDEX(Active[M_NOAEL], 2)/K115,""),""),"")</f>
        <v/>
      </c>
      <c r="M115" s="370" t="str">
        <f>IFERROR(IF(Active3=TRUE,HLOOKUP(Mammal_Chronic[[#This Row],[Crop]],Input_Scenario,13,FALSE)*HLOOKUP(Mammal_Chronic[[#This Row],[Crop]],Input_Scenario,8,FALSE)*Mammal_Chronic[[#This Row],[SVm]],""),"")</f>
        <v/>
      </c>
      <c r="N115" s="370" t="str">
        <f ca="1">IF($B$3&lt;&gt;"Passive",IFERROR(IF(ISNUMBER(INDEX(Active[M_NOAEL], 3)),
                          INDEX(Active[M_NOAEL], 3)/M115,""),""),"")</f>
        <v/>
      </c>
      <c r="O115" s="370" t="str">
        <f>IFERROR(IF(Active4=TRUE,HLOOKUP(Mammal_Chronic[[#This Row],[Crop]],Input_Scenario,14,FALSE)*HLOOKUP(Mammal_Chronic[[#This Row],[Crop]],Input_Scenario,8,FALSE)*Mammal_Chronic[[#This Row],[SVm]],""),"")</f>
        <v/>
      </c>
      <c r="P115" s="370" t="str">
        <f ca="1">IF($B$3&lt;&gt;"Passive",IFERROR(IF(ISNUMBER(INDEX(Active[M_NOAEL], 4)),
                          INDEX(Active[M_NOAEL], 4)/O115,""),""),"")</f>
        <v/>
      </c>
      <c r="Q115" s="370" t="str">
        <f>IFERROR(IF(Active5=TRUE,HLOOKUP(Mammal_Chronic[[#This Row],[Crop]],Input_Scenario,15,FALSE)*HLOOKUP(Mammal_Chronic[[#This Row],[Crop]],Input_Scenario,8,FALSE)*Mammal_Chronic[[#This Row],[SVm]],""),"")</f>
        <v/>
      </c>
      <c r="R115" s="370" t="str">
        <f ca="1">IF($B$3&lt;&gt;"Passive",IFERROR(IF(ISNUMBER(INDEX(Active[M_NOAEL], 5)),
                          INDEX(Active[M_NOAEL], 5)/Q115,""),""),"")</f>
        <v/>
      </c>
    </row>
    <row r="116" spans="1:18">
      <c r="A116" s="56"/>
      <c r="B116" s="314" t="str">
        <f t="shared" ca="1" si="3"/>
        <v>No input</v>
      </c>
      <c r="C116" s="72" t="s">
        <v>167</v>
      </c>
      <c r="D116" s="73" t="s">
        <v>261</v>
      </c>
      <c r="E116" s="73" t="s">
        <v>275</v>
      </c>
      <c r="F116" s="113">
        <v>14.3</v>
      </c>
      <c r="G116" s="203" t="str">
        <f ca="1">IF(AND(Mammal_Chronic[[#This Row],[Relevance]]="Input provided", Count&gt;=1),
       IF(M_ChronicScheme="C(mix)",
                 HLOOKUP(Mammal_Chronic[[#This Row],[Crop]], Input_Scenario,10,FALSE)*Mammal_Chronic[[#This Row],[SVm]]*HLOOKUP(Mammal_Chronic[[#This Row],[Crop]],Input_Scenario,8,FALSE),""),"")</f>
        <v/>
      </c>
      <c r="H116" s="368" t="str">
        <f t="shared" si="4"/>
        <v/>
      </c>
      <c r="I116" s="370" t="str">
        <f>IFERROR(IF(Active1=TRUE,HLOOKUP(Mammal_Chronic[[#This Row],[Crop]],Input_Scenario,11,FALSE)*HLOOKUP(Mammal_Chronic[[#This Row],[Crop]],Input_Scenario,8,FALSE)*Mammal_Chronic[[#This Row],[SVm]],""),"")</f>
        <v/>
      </c>
      <c r="J116" s="370" t="str">
        <f t="shared" ca="1" si="5"/>
        <v/>
      </c>
      <c r="K116" s="370" t="str">
        <f>IFERROR(IF(Active2=TRUE,HLOOKUP(Mammal_Chronic[[#This Row],[Crop]],Input_Scenario,12,FALSE)*HLOOKUP(Mammal_Chronic[[#This Row],[Crop]],Input_Scenario,8,FALSE)*Mammal_Chronic[[#This Row],[SVm]],""),"")</f>
        <v/>
      </c>
      <c r="L116" s="370" t="str">
        <f ca="1">IF($B$3&lt;&gt;"Passive",IFERROR(IF(ISNUMBER(INDEX(Active[M_NOAEL], 2)),
                          INDEX(Active[M_NOAEL], 2)/K116,""),""),"")</f>
        <v/>
      </c>
      <c r="M116" s="370" t="str">
        <f>IFERROR(IF(Active3=TRUE,HLOOKUP(Mammal_Chronic[[#This Row],[Crop]],Input_Scenario,13,FALSE)*HLOOKUP(Mammal_Chronic[[#This Row],[Crop]],Input_Scenario,8,FALSE)*Mammal_Chronic[[#This Row],[SVm]],""),"")</f>
        <v/>
      </c>
      <c r="N116" s="370" t="str">
        <f ca="1">IF($B$3&lt;&gt;"Passive",IFERROR(IF(ISNUMBER(INDEX(Active[M_NOAEL], 3)),
                          INDEX(Active[M_NOAEL], 3)/M116,""),""),"")</f>
        <v/>
      </c>
      <c r="O116" s="370" t="str">
        <f>IFERROR(IF(Active4=TRUE,HLOOKUP(Mammal_Chronic[[#This Row],[Crop]],Input_Scenario,14,FALSE)*HLOOKUP(Mammal_Chronic[[#This Row],[Crop]],Input_Scenario,8,FALSE)*Mammal_Chronic[[#This Row],[SVm]],""),"")</f>
        <v/>
      </c>
      <c r="P116" s="370" t="str">
        <f ca="1">IF($B$3&lt;&gt;"Passive",IFERROR(IF(ISNUMBER(INDEX(Active[M_NOAEL], 4)),
                          INDEX(Active[M_NOAEL], 4)/O116,""),""),"")</f>
        <v/>
      </c>
      <c r="Q116" s="370" t="str">
        <f>IFERROR(IF(Active5=TRUE,HLOOKUP(Mammal_Chronic[[#This Row],[Crop]],Input_Scenario,15,FALSE)*HLOOKUP(Mammal_Chronic[[#This Row],[Crop]],Input_Scenario,8,FALSE)*Mammal_Chronic[[#This Row],[SVm]],""),"")</f>
        <v/>
      </c>
      <c r="R116" s="370" t="str">
        <f ca="1">IF($B$3&lt;&gt;"Passive",IFERROR(IF(ISNUMBER(INDEX(Active[M_NOAEL], 5)),
                          INDEX(Active[M_NOAEL], 5)/Q116,""),""),"")</f>
        <v/>
      </c>
    </row>
    <row r="117" spans="1:18">
      <c r="A117" s="56"/>
      <c r="B117" s="314" t="str">
        <f t="shared" ca="1" si="3"/>
        <v>No input</v>
      </c>
      <c r="C117" s="72" t="s">
        <v>167</v>
      </c>
      <c r="D117" s="73" t="s">
        <v>261</v>
      </c>
      <c r="E117" s="73" t="s">
        <v>271</v>
      </c>
      <c r="F117" s="113">
        <v>7.8</v>
      </c>
      <c r="G117" s="203" t="str">
        <f ca="1">IF(AND(Mammal_Chronic[[#This Row],[Relevance]]="Input provided", Count&gt;=1),
       IF(M_ChronicScheme="C(mix)",
                 HLOOKUP(Mammal_Chronic[[#This Row],[Crop]], Input_Scenario,10,FALSE)*Mammal_Chronic[[#This Row],[SVm]]*HLOOKUP(Mammal_Chronic[[#This Row],[Crop]],Input_Scenario,8,FALSE),""),"")</f>
        <v/>
      </c>
      <c r="H117" s="368" t="str">
        <f t="shared" si="4"/>
        <v/>
      </c>
      <c r="I117" s="370" t="str">
        <f>IFERROR(IF(Active1=TRUE,HLOOKUP(Mammal_Chronic[[#This Row],[Crop]],Input_Scenario,11,FALSE)*HLOOKUP(Mammal_Chronic[[#This Row],[Crop]],Input_Scenario,8,FALSE)*Mammal_Chronic[[#This Row],[SVm]],""),"")</f>
        <v/>
      </c>
      <c r="J117" s="370" t="str">
        <f t="shared" ca="1" si="5"/>
        <v/>
      </c>
      <c r="K117" s="370" t="str">
        <f>IFERROR(IF(Active2=TRUE,HLOOKUP(Mammal_Chronic[[#This Row],[Crop]],Input_Scenario,12,FALSE)*HLOOKUP(Mammal_Chronic[[#This Row],[Crop]],Input_Scenario,8,FALSE)*Mammal_Chronic[[#This Row],[SVm]],""),"")</f>
        <v/>
      </c>
      <c r="L117" s="370" t="str">
        <f ca="1">IF($B$3&lt;&gt;"Passive",IFERROR(IF(ISNUMBER(INDEX(Active[M_NOAEL], 2)),
                          INDEX(Active[M_NOAEL], 2)/K117,""),""),"")</f>
        <v/>
      </c>
      <c r="M117" s="370" t="str">
        <f>IFERROR(IF(Active3=TRUE,HLOOKUP(Mammal_Chronic[[#This Row],[Crop]],Input_Scenario,13,FALSE)*HLOOKUP(Mammal_Chronic[[#This Row],[Crop]],Input_Scenario,8,FALSE)*Mammal_Chronic[[#This Row],[SVm]],""),"")</f>
        <v/>
      </c>
      <c r="N117" s="370" t="str">
        <f ca="1">IF($B$3&lt;&gt;"Passive",IFERROR(IF(ISNUMBER(INDEX(Active[M_NOAEL], 3)),
                          INDEX(Active[M_NOAEL], 3)/M117,""),""),"")</f>
        <v/>
      </c>
      <c r="O117" s="370" t="str">
        <f>IFERROR(IF(Active4=TRUE,HLOOKUP(Mammal_Chronic[[#This Row],[Crop]],Input_Scenario,14,FALSE)*HLOOKUP(Mammal_Chronic[[#This Row],[Crop]],Input_Scenario,8,FALSE)*Mammal_Chronic[[#This Row],[SVm]],""),"")</f>
        <v/>
      </c>
      <c r="P117" s="370" t="str">
        <f ca="1">IF($B$3&lt;&gt;"Passive",IFERROR(IF(ISNUMBER(INDEX(Active[M_NOAEL], 4)),
                          INDEX(Active[M_NOAEL], 4)/O117,""),""),"")</f>
        <v/>
      </c>
      <c r="Q117" s="370" t="str">
        <f>IFERROR(IF(Active5=TRUE,HLOOKUP(Mammal_Chronic[[#This Row],[Crop]],Input_Scenario,15,FALSE)*HLOOKUP(Mammal_Chronic[[#This Row],[Crop]],Input_Scenario,8,FALSE)*Mammal_Chronic[[#This Row],[SVm]],""),"")</f>
        <v/>
      </c>
      <c r="R117" s="370" t="str">
        <f ca="1">IF($B$3&lt;&gt;"Passive",IFERROR(IF(ISNUMBER(INDEX(Active[M_NOAEL], 5)),
                          INDEX(Active[M_NOAEL], 5)/Q117,""),""),"")</f>
        <v/>
      </c>
    </row>
    <row r="118" spans="1:18">
      <c r="A118" s="56"/>
      <c r="B118" s="314" t="str">
        <f t="shared" ca="1" si="3"/>
        <v>No input</v>
      </c>
      <c r="C118" s="72" t="s">
        <v>167</v>
      </c>
      <c r="D118" s="73" t="s">
        <v>173</v>
      </c>
      <c r="E118" s="73" t="s">
        <v>275</v>
      </c>
      <c r="F118" s="113">
        <v>4.3</v>
      </c>
      <c r="G118" s="203" t="str">
        <f ca="1">IF(AND(Mammal_Chronic[[#This Row],[Relevance]]="Input provided", Count&gt;=1),
       IF(M_ChronicScheme="C(mix)",
                 HLOOKUP(Mammal_Chronic[[#This Row],[Crop]], Input_Scenario,10,FALSE)*Mammal_Chronic[[#This Row],[SVm]]*HLOOKUP(Mammal_Chronic[[#This Row],[Crop]],Input_Scenario,8,FALSE),""),"")</f>
        <v/>
      </c>
      <c r="H118" s="368" t="str">
        <f t="shared" si="4"/>
        <v/>
      </c>
      <c r="I118" s="370" t="str">
        <f>IFERROR(IF(Active1=TRUE,HLOOKUP(Mammal_Chronic[[#This Row],[Crop]],Input_Scenario,11,FALSE)*HLOOKUP(Mammal_Chronic[[#This Row],[Crop]],Input_Scenario,8,FALSE)*Mammal_Chronic[[#This Row],[SVm]],""),"")</f>
        <v/>
      </c>
      <c r="J118" s="370" t="str">
        <f t="shared" ca="1" si="5"/>
        <v/>
      </c>
      <c r="K118" s="370" t="str">
        <f>IFERROR(IF(Active2=TRUE,HLOOKUP(Mammal_Chronic[[#This Row],[Crop]],Input_Scenario,12,FALSE)*HLOOKUP(Mammal_Chronic[[#This Row],[Crop]],Input_Scenario,8,FALSE)*Mammal_Chronic[[#This Row],[SVm]],""),"")</f>
        <v/>
      </c>
      <c r="L118" s="370" t="str">
        <f ca="1">IF($B$3&lt;&gt;"Passive",IFERROR(IF(ISNUMBER(INDEX(Active[M_NOAEL], 2)),
                          INDEX(Active[M_NOAEL], 2)/K118,""),""),"")</f>
        <v/>
      </c>
      <c r="M118" s="370" t="str">
        <f>IFERROR(IF(Active3=TRUE,HLOOKUP(Mammal_Chronic[[#This Row],[Crop]],Input_Scenario,13,FALSE)*HLOOKUP(Mammal_Chronic[[#This Row],[Crop]],Input_Scenario,8,FALSE)*Mammal_Chronic[[#This Row],[SVm]],""),"")</f>
        <v/>
      </c>
      <c r="N118" s="370" t="str">
        <f ca="1">IF($B$3&lt;&gt;"Passive",IFERROR(IF(ISNUMBER(INDEX(Active[M_NOAEL], 3)),
                          INDEX(Active[M_NOAEL], 3)/M118,""),""),"")</f>
        <v/>
      </c>
      <c r="O118" s="370" t="str">
        <f>IFERROR(IF(Active4=TRUE,HLOOKUP(Mammal_Chronic[[#This Row],[Crop]],Input_Scenario,14,FALSE)*HLOOKUP(Mammal_Chronic[[#This Row],[Crop]],Input_Scenario,8,FALSE)*Mammal_Chronic[[#This Row],[SVm]],""),"")</f>
        <v/>
      </c>
      <c r="P118" s="370" t="str">
        <f ca="1">IF($B$3&lt;&gt;"Passive",IFERROR(IF(ISNUMBER(INDEX(Active[M_NOAEL], 4)),
                          INDEX(Active[M_NOAEL], 4)/O118,""),""),"")</f>
        <v/>
      </c>
      <c r="Q118" s="370" t="str">
        <f>IFERROR(IF(Active5=TRUE,HLOOKUP(Mammal_Chronic[[#This Row],[Crop]],Input_Scenario,15,FALSE)*HLOOKUP(Mammal_Chronic[[#This Row],[Crop]],Input_Scenario,8,FALSE)*Mammal_Chronic[[#This Row],[SVm]],""),"")</f>
        <v/>
      </c>
      <c r="R118" s="370" t="str">
        <f ca="1">IF($B$3&lt;&gt;"Passive",IFERROR(IF(ISNUMBER(INDEX(Active[M_NOAEL], 5)),
                          INDEX(Active[M_NOAEL], 5)/Q118,""),""),"")</f>
        <v/>
      </c>
    </row>
    <row r="119" spans="1:18">
      <c r="A119" s="56"/>
      <c r="B119" s="314" t="str">
        <f t="shared" ca="1" si="3"/>
        <v>No input</v>
      </c>
      <c r="C119" s="72" t="s">
        <v>167</v>
      </c>
      <c r="D119" s="73" t="s">
        <v>173</v>
      </c>
      <c r="E119" s="73" t="s">
        <v>273</v>
      </c>
      <c r="F119" s="113">
        <v>21.7</v>
      </c>
      <c r="G119" s="203" t="str">
        <f ca="1">IF(AND(Mammal_Chronic[[#This Row],[Relevance]]="Input provided", Count&gt;=1),
       IF(M_ChronicScheme="C(mix)",
                 HLOOKUP(Mammal_Chronic[[#This Row],[Crop]], Input_Scenario,10,FALSE)*Mammal_Chronic[[#This Row],[SVm]]*HLOOKUP(Mammal_Chronic[[#This Row],[Crop]],Input_Scenario,8,FALSE),""),"")</f>
        <v/>
      </c>
      <c r="H119" s="368" t="str">
        <f t="shared" si="4"/>
        <v/>
      </c>
      <c r="I119" s="370" t="str">
        <f>IFERROR(IF(Active1=TRUE,HLOOKUP(Mammal_Chronic[[#This Row],[Crop]],Input_Scenario,11,FALSE)*HLOOKUP(Mammal_Chronic[[#This Row],[Crop]],Input_Scenario,8,FALSE)*Mammal_Chronic[[#This Row],[SVm]],""),"")</f>
        <v/>
      </c>
      <c r="J119" s="370" t="str">
        <f t="shared" ca="1" si="5"/>
        <v/>
      </c>
      <c r="K119" s="370" t="str">
        <f>IFERROR(IF(Active2=TRUE,HLOOKUP(Mammal_Chronic[[#This Row],[Crop]],Input_Scenario,12,FALSE)*HLOOKUP(Mammal_Chronic[[#This Row],[Crop]],Input_Scenario,8,FALSE)*Mammal_Chronic[[#This Row],[SVm]],""),"")</f>
        <v/>
      </c>
      <c r="L119" s="370" t="str">
        <f ca="1">IF($B$3&lt;&gt;"Passive",IFERROR(IF(ISNUMBER(INDEX(Active[M_NOAEL], 2)),
                          INDEX(Active[M_NOAEL], 2)/K119,""),""),"")</f>
        <v/>
      </c>
      <c r="M119" s="370" t="str">
        <f>IFERROR(IF(Active3=TRUE,HLOOKUP(Mammal_Chronic[[#This Row],[Crop]],Input_Scenario,13,FALSE)*HLOOKUP(Mammal_Chronic[[#This Row],[Crop]],Input_Scenario,8,FALSE)*Mammal_Chronic[[#This Row],[SVm]],""),"")</f>
        <v/>
      </c>
      <c r="N119" s="370" t="str">
        <f ca="1">IF($B$3&lt;&gt;"Passive",IFERROR(IF(ISNUMBER(INDEX(Active[M_NOAEL], 3)),
                          INDEX(Active[M_NOAEL], 3)/M119,""),""),"")</f>
        <v/>
      </c>
      <c r="O119" s="370" t="str">
        <f>IFERROR(IF(Active4=TRUE,HLOOKUP(Mammal_Chronic[[#This Row],[Crop]],Input_Scenario,14,FALSE)*HLOOKUP(Mammal_Chronic[[#This Row],[Crop]],Input_Scenario,8,FALSE)*Mammal_Chronic[[#This Row],[SVm]],""),"")</f>
        <v/>
      </c>
      <c r="P119" s="370" t="str">
        <f ca="1">IF($B$3&lt;&gt;"Passive",IFERROR(IF(ISNUMBER(INDEX(Active[M_NOAEL], 4)),
                          INDEX(Active[M_NOAEL], 4)/O119,""),""),"")</f>
        <v/>
      </c>
      <c r="Q119" s="370" t="str">
        <f>IFERROR(IF(Active5=TRUE,HLOOKUP(Mammal_Chronic[[#This Row],[Crop]],Input_Scenario,15,FALSE)*HLOOKUP(Mammal_Chronic[[#This Row],[Crop]],Input_Scenario,8,FALSE)*Mammal_Chronic[[#This Row],[SVm]],""),"")</f>
        <v/>
      </c>
      <c r="R119" s="370" t="str">
        <f ca="1">IF($B$3&lt;&gt;"Passive",IFERROR(IF(ISNUMBER(INDEX(Active[M_NOAEL], 5)),
                          INDEX(Active[M_NOAEL], 5)/Q119,""),""),"")</f>
        <v/>
      </c>
    </row>
    <row r="120" spans="1:18">
      <c r="A120" s="56"/>
      <c r="B120" s="314" t="str">
        <f t="shared" ca="1" si="3"/>
        <v>No input</v>
      </c>
      <c r="C120" s="72" t="s">
        <v>167</v>
      </c>
      <c r="D120" s="73" t="s">
        <v>173</v>
      </c>
      <c r="E120" s="73" t="s">
        <v>271</v>
      </c>
      <c r="F120" s="113">
        <v>2.2999999999999998</v>
      </c>
      <c r="G120" s="203" t="str">
        <f ca="1">IF(AND(Mammal_Chronic[[#This Row],[Relevance]]="Input provided", Count&gt;=1),
       IF(M_ChronicScheme="C(mix)",
                 HLOOKUP(Mammal_Chronic[[#This Row],[Crop]], Input_Scenario,10,FALSE)*Mammal_Chronic[[#This Row],[SVm]]*HLOOKUP(Mammal_Chronic[[#This Row],[Crop]],Input_Scenario,8,FALSE),""),"")</f>
        <v/>
      </c>
      <c r="H120" s="368" t="str">
        <f t="shared" si="4"/>
        <v/>
      </c>
      <c r="I120" s="370" t="str">
        <f>IFERROR(IF(Active1=TRUE,HLOOKUP(Mammal_Chronic[[#This Row],[Crop]],Input_Scenario,11,FALSE)*HLOOKUP(Mammal_Chronic[[#This Row],[Crop]],Input_Scenario,8,FALSE)*Mammal_Chronic[[#This Row],[SVm]],""),"")</f>
        <v/>
      </c>
      <c r="J120" s="370" t="str">
        <f t="shared" ca="1" si="5"/>
        <v/>
      </c>
      <c r="K120" s="370" t="str">
        <f>IFERROR(IF(Active2=TRUE,HLOOKUP(Mammal_Chronic[[#This Row],[Crop]],Input_Scenario,12,FALSE)*HLOOKUP(Mammal_Chronic[[#This Row],[Crop]],Input_Scenario,8,FALSE)*Mammal_Chronic[[#This Row],[SVm]],""),"")</f>
        <v/>
      </c>
      <c r="L120" s="370" t="str">
        <f ca="1">IF($B$3&lt;&gt;"Passive",IFERROR(IF(ISNUMBER(INDEX(Active[M_NOAEL], 2)),
                          INDEX(Active[M_NOAEL], 2)/K120,""),""),"")</f>
        <v/>
      </c>
      <c r="M120" s="370" t="str">
        <f>IFERROR(IF(Active3=TRUE,HLOOKUP(Mammal_Chronic[[#This Row],[Crop]],Input_Scenario,13,FALSE)*HLOOKUP(Mammal_Chronic[[#This Row],[Crop]],Input_Scenario,8,FALSE)*Mammal_Chronic[[#This Row],[SVm]],""),"")</f>
        <v/>
      </c>
      <c r="N120" s="370" t="str">
        <f ca="1">IF($B$3&lt;&gt;"Passive",IFERROR(IF(ISNUMBER(INDEX(Active[M_NOAEL], 3)),
                          INDEX(Active[M_NOAEL], 3)/M120,""),""),"")</f>
        <v/>
      </c>
      <c r="O120" s="370" t="str">
        <f>IFERROR(IF(Active4=TRUE,HLOOKUP(Mammal_Chronic[[#This Row],[Crop]],Input_Scenario,14,FALSE)*HLOOKUP(Mammal_Chronic[[#This Row],[Crop]],Input_Scenario,8,FALSE)*Mammal_Chronic[[#This Row],[SVm]],""),"")</f>
        <v/>
      </c>
      <c r="P120" s="370" t="str">
        <f ca="1">IF($B$3&lt;&gt;"Passive",IFERROR(IF(ISNUMBER(INDEX(Active[M_NOAEL], 4)),
                          INDEX(Active[M_NOAEL], 4)/O120,""),""),"")</f>
        <v/>
      </c>
      <c r="Q120" s="370" t="str">
        <f>IFERROR(IF(Active5=TRUE,HLOOKUP(Mammal_Chronic[[#This Row],[Crop]],Input_Scenario,15,FALSE)*HLOOKUP(Mammal_Chronic[[#This Row],[Crop]],Input_Scenario,8,FALSE)*Mammal_Chronic[[#This Row],[SVm]],""),"")</f>
        <v/>
      </c>
      <c r="R120" s="370" t="str">
        <f ca="1">IF($B$3&lt;&gt;"Passive",IFERROR(IF(ISNUMBER(INDEX(Active[M_NOAEL], 5)),
                          INDEX(Active[M_NOAEL], 5)/Q120,""),""),"")</f>
        <v/>
      </c>
    </row>
    <row r="121" spans="1:18">
      <c r="A121" s="56"/>
      <c r="B121" s="314" t="str">
        <f t="shared" ca="1" si="3"/>
        <v>No input</v>
      </c>
      <c r="C121" s="72" t="s">
        <v>175</v>
      </c>
      <c r="D121" s="73" t="s">
        <v>262</v>
      </c>
      <c r="E121" s="73" t="s">
        <v>271</v>
      </c>
      <c r="F121" s="113">
        <v>7.8</v>
      </c>
      <c r="G121" s="203" t="str">
        <f ca="1">IF(AND(Mammal_Chronic[[#This Row],[Relevance]]="Input provided", Count&gt;=1),
       IF(M_ChronicScheme="C(mix)",
                 HLOOKUP(Mammal_Chronic[[#This Row],[Crop]], Input_Scenario,10,FALSE)*Mammal_Chronic[[#This Row],[SVm]]*HLOOKUP(Mammal_Chronic[[#This Row],[Crop]],Input_Scenario,8,FALSE),""),"")</f>
        <v/>
      </c>
      <c r="H121" s="368" t="str">
        <f t="shared" si="4"/>
        <v/>
      </c>
      <c r="I121" s="370" t="str">
        <f>IFERROR(IF(Active1=TRUE,HLOOKUP(Mammal_Chronic[[#This Row],[Crop]],Input_Scenario,11,FALSE)*HLOOKUP(Mammal_Chronic[[#This Row],[Crop]],Input_Scenario,8,FALSE)*Mammal_Chronic[[#This Row],[SVm]],""),"")</f>
        <v/>
      </c>
      <c r="J121" s="370" t="str">
        <f t="shared" ca="1" si="5"/>
        <v/>
      </c>
      <c r="K121" s="370" t="str">
        <f>IFERROR(IF(Active2=TRUE,HLOOKUP(Mammal_Chronic[[#This Row],[Crop]],Input_Scenario,12,FALSE)*HLOOKUP(Mammal_Chronic[[#This Row],[Crop]],Input_Scenario,8,FALSE)*Mammal_Chronic[[#This Row],[SVm]],""),"")</f>
        <v/>
      </c>
      <c r="L121" s="370" t="str">
        <f ca="1">IF($B$3&lt;&gt;"Passive",IFERROR(IF(ISNUMBER(INDEX(Active[M_NOAEL], 2)),
                          INDEX(Active[M_NOAEL], 2)/K121,""),""),"")</f>
        <v/>
      </c>
      <c r="M121" s="370" t="str">
        <f>IFERROR(IF(Active3=TRUE,HLOOKUP(Mammal_Chronic[[#This Row],[Crop]],Input_Scenario,13,FALSE)*HLOOKUP(Mammal_Chronic[[#This Row],[Crop]],Input_Scenario,8,FALSE)*Mammal_Chronic[[#This Row],[SVm]],""),"")</f>
        <v/>
      </c>
      <c r="N121" s="370" t="str">
        <f ca="1">IF($B$3&lt;&gt;"Passive",IFERROR(IF(ISNUMBER(INDEX(Active[M_NOAEL], 3)),
                          INDEX(Active[M_NOAEL], 3)/M121,""),""),"")</f>
        <v/>
      </c>
      <c r="O121" s="370" t="str">
        <f>IFERROR(IF(Active4=TRUE,HLOOKUP(Mammal_Chronic[[#This Row],[Crop]],Input_Scenario,14,FALSE)*HLOOKUP(Mammal_Chronic[[#This Row],[Crop]],Input_Scenario,8,FALSE)*Mammal_Chronic[[#This Row],[SVm]],""),"")</f>
        <v/>
      </c>
      <c r="P121" s="370" t="str">
        <f ca="1">IF($B$3&lt;&gt;"Passive",IFERROR(IF(ISNUMBER(INDEX(Active[M_NOAEL], 4)),
                          INDEX(Active[M_NOAEL], 4)/O121,""),""),"")</f>
        <v/>
      </c>
      <c r="Q121" s="370" t="str">
        <f>IFERROR(IF(Active5=TRUE,HLOOKUP(Mammal_Chronic[[#This Row],[Crop]],Input_Scenario,15,FALSE)*HLOOKUP(Mammal_Chronic[[#This Row],[Crop]],Input_Scenario,8,FALSE)*Mammal_Chronic[[#This Row],[SVm]],""),"")</f>
        <v/>
      </c>
      <c r="R121" s="370" t="str">
        <f ca="1">IF($B$3&lt;&gt;"Passive",IFERROR(IF(ISNUMBER(INDEX(Active[M_NOAEL], 5)),
                          INDEX(Active[M_NOAEL], 5)/Q121,""),""),"")</f>
        <v/>
      </c>
    </row>
    <row r="122" spans="1:18">
      <c r="A122" s="56"/>
      <c r="B122" s="314" t="str">
        <f t="shared" ca="1" si="3"/>
        <v>No input</v>
      </c>
      <c r="C122" s="72" t="s">
        <v>175</v>
      </c>
      <c r="D122" s="73" t="s">
        <v>251</v>
      </c>
      <c r="E122" s="73" t="s">
        <v>273</v>
      </c>
      <c r="F122" s="113">
        <v>72.3</v>
      </c>
      <c r="G122" s="203" t="str">
        <f ca="1">IF(AND(Mammal_Chronic[[#This Row],[Relevance]]="Input provided", Count&gt;=1),
       IF(M_ChronicScheme="C(mix)",
                 HLOOKUP(Mammal_Chronic[[#This Row],[Crop]], Input_Scenario,10,FALSE)*Mammal_Chronic[[#This Row],[SVm]]*HLOOKUP(Mammal_Chronic[[#This Row],[Crop]],Input_Scenario,8,FALSE),""),"")</f>
        <v/>
      </c>
      <c r="H122" s="368" t="str">
        <f t="shared" si="4"/>
        <v/>
      </c>
      <c r="I122" s="370" t="str">
        <f>IFERROR(IF(Active1=TRUE,HLOOKUP(Mammal_Chronic[[#This Row],[Crop]],Input_Scenario,11,FALSE)*HLOOKUP(Mammal_Chronic[[#This Row],[Crop]],Input_Scenario,8,FALSE)*Mammal_Chronic[[#This Row],[SVm]],""),"")</f>
        <v/>
      </c>
      <c r="J122" s="370" t="str">
        <f t="shared" ca="1" si="5"/>
        <v/>
      </c>
      <c r="K122" s="370" t="str">
        <f>IFERROR(IF(Active2=TRUE,HLOOKUP(Mammal_Chronic[[#This Row],[Crop]],Input_Scenario,12,FALSE)*HLOOKUP(Mammal_Chronic[[#This Row],[Crop]],Input_Scenario,8,FALSE)*Mammal_Chronic[[#This Row],[SVm]],""),"")</f>
        <v/>
      </c>
      <c r="L122" s="370" t="str">
        <f ca="1">IF($B$3&lt;&gt;"Passive",IFERROR(IF(ISNUMBER(INDEX(Active[M_NOAEL], 2)),
                          INDEX(Active[M_NOAEL], 2)/K122,""),""),"")</f>
        <v/>
      </c>
      <c r="M122" s="370" t="str">
        <f>IFERROR(IF(Active3=TRUE,HLOOKUP(Mammal_Chronic[[#This Row],[Crop]],Input_Scenario,13,FALSE)*HLOOKUP(Mammal_Chronic[[#This Row],[Crop]],Input_Scenario,8,FALSE)*Mammal_Chronic[[#This Row],[SVm]],""),"")</f>
        <v/>
      </c>
      <c r="N122" s="370" t="str">
        <f ca="1">IF($B$3&lt;&gt;"Passive",IFERROR(IF(ISNUMBER(INDEX(Active[M_NOAEL], 3)),
                          INDEX(Active[M_NOAEL], 3)/M122,""),""),"")</f>
        <v/>
      </c>
      <c r="O122" s="370" t="str">
        <f>IFERROR(IF(Active4=TRUE,HLOOKUP(Mammal_Chronic[[#This Row],[Crop]],Input_Scenario,14,FALSE)*HLOOKUP(Mammal_Chronic[[#This Row],[Crop]],Input_Scenario,8,FALSE)*Mammal_Chronic[[#This Row],[SVm]],""),"")</f>
        <v/>
      </c>
      <c r="P122" s="370" t="str">
        <f ca="1">IF($B$3&lt;&gt;"Passive",IFERROR(IF(ISNUMBER(INDEX(Active[M_NOAEL], 4)),
                          INDEX(Active[M_NOAEL], 4)/O122,""),""),"")</f>
        <v/>
      </c>
      <c r="Q122" s="370" t="str">
        <f>IFERROR(IF(Active5=TRUE,HLOOKUP(Mammal_Chronic[[#This Row],[Crop]],Input_Scenario,15,FALSE)*HLOOKUP(Mammal_Chronic[[#This Row],[Crop]],Input_Scenario,8,FALSE)*Mammal_Chronic[[#This Row],[SVm]],""),"")</f>
        <v/>
      </c>
      <c r="R122" s="370" t="str">
        <f ca="1">IF($B$3&lt;&gt;"Passive",IFERROR(IF(ISNUMBER(INDEX(Active[M_NOAEL], 5)),
                          INDEX(Active[M_NOAEL], 5)/Q122,""),""),"")</f>
        <v/>
      </c>
    </row>
    <row r="123" spans="1:18">
      <c r="A123" s="56"/>
      <c r="B123" s="314" t="str">
        <f t="shared" ca="1" si="3"/>
        <v>No input</v>
      </c>
      <c r="C123" s="72" t="s">
        <v>175</v>
      </c>
      <c r="D123" s="73" t="s">
        <v>177</v>
      </c>
      <c r="E123" s="73" t="s">
        <v>272</v>
      </c>
      <c r="F123" s="113">
        <v>1.9</v>
      </c>
      <c r="G123" s="203" t="str">
        <f ca="1">IF(AND(Mammal_Chronic[[#This Row],[Relevance]]="Input provided", Count&gt;=1),
       IF(M_ChronicScheme="C(mix)",
                 HLOOKUP(Mammal_Chronic[[#This Row],[Crop]], Input_Scenario,10,FALSE)*Mammal_Chronic[[#This Row],[SVm]]*HLOOKUP(Mammal_Chronic[[#This Row],[Crop]],Input_Scenario,8,FALSE),""),"")</f>
        <v/>
      </c>
      <c r="H123" s="368" t="str">
        <f t="shared" si="4"/>
        <v/>
      </c>
      <c r="I123" s="370" t="str">
        <f>IFERROR(IF(Active1=TRUE,HLOOKUP(Mammal_Chronic[[#This Row],[Crop]],Input_Scenario,11,FALSE)*HLOOKUP(Mammal_Chronic[[#This Row],[Crop]],Input_Scenario,8,FALSE)*Mammal_Chronic[[#This Row],[SVm]],""),"")</f>
        <v/>
      </c>
      <c r="J123" s="370" t="str">
        <f t="shared" ca="1" si="5"/>
        <v/>
      </c>
      <c r="K123" s="370" t="str">
        <f>IFERROR(IF(Active2=TRUE,HLOOKUP(Mammal_Chronic[[#This Row],[Crop]],Input_Scenario,12,FALSE)*HLOOKUP(Mammal_Chronic[[#This Row],[Crop]],Input_Scenario,8,FALSE)*Mammal_Chronic[[#This Row],[SVm]],""),"")</f>
        <v/>
      </c>
      <c r="L123" s="370" t="str">
        <f ca="1">IF($B$3&lt;&gt;"Passive",IFERROR(IF(ISNUMBER(INDEX(Active[M_NOAEL], 2)),
                          INDEX(Active[M_NOAEL], 2)/K123,""),""),"")</f>
        <v/>
      </c>
      <c r="M123" s="370" t="str">
        <f>IFERROR(IF(Active3=TRUE,HLOOKUP(Mammal_Chronic[[#This Row],[Crop]],Input_Scenario,13,FALSE)*HLOOKUP(Mammal_Chronic[[#This Row],[Crop]],Input_Scenario,8,FALSE)*Mammal_Chronic[[#This Row],[SVm]],""),"")</f>
        <v/>
      </c>
      <c r="N123" s="370" t="str">
        <f ca="1">IF($B$3&lt;&gt;"Passive",IFERROR(IF(ISNUMBER(INDEX(Active[M_NOAEL], 3)),
                          INDEX(Active[M_NOAEL], 3)/M123,""),""),"")</f>
        <v/>
      </c>
      <c r="O123" s="370" t="str">
        <f>IFERROR(IF(Active4=TRUE,HLOOKUP(Mammal_Chronic[[#This Row],[Crop]],Input_Scenario,14,FALSE)*HLOOKUP(Mammal_Chronic[[#This Row],[Crop]],Input_Scenario,8,FALSE)*Mammal_Chronic[[#This Row],[SVm]],""),"")</f>
        <v/>
      </c>
      <c r="P123" s="370" t="str">
        <f ca="1">IF($B$3&lt;&gt;"Passive",IFERROR(IF(ISNUMBER(INDEX(Active[M_NOAEL], 4)),
                          INDEX(Active[M_NOAEL], 4)/O123,""),""),"")</f>
        <v/>
      </c>
      <c r="Q123" s="370" t="str">
        <f>IFERROR(IF(Active5=TRUE,HLOOKUP(Mammal_Chronic[[#This Row],[Crop]],Input_Scenario,15,FALSE)*HLOOKUP(Mammal_Chronic[[#This Row],[Crop]],Input_Scenario,8,FALSE)*Mammal_Chronic[[#This Row],[SVm]],""),"")</f>
        <v/>
      </c>
      <c r="R123" s="370" t="str">
        <f ca="1">IF($B$3&lt;&gt;"Passive",IFERROR(IF(ISNUMBER(INDEX(Active[M_NOAEL], 5)),
                          INDEX(Active[M_NOAEL], 5)/Q123,""),""),"")</f>
        <v/>
      </c>
    </row>
    <row r="124" spans="1:18">
      <c r="A124" s="56"/>
      <c r="B124" s="314" t="str">
        <f t="shared" ca="1" si="3"/>
        <v>No input</v>
      </c>
      <c r="C124" s="72" t="s">
        <v>175</v>
      </c>
      <c r="D124" s="73" t="s">
        <v>134</v>
      </c>
      <c r="E124" s="73" t="s">
        <v>273</v>
      </c>
      <c r="F124" s="113">
        <v>36.1</v>
      </c>
      <c r="G124" s="203" t="str">
        <f ca="1">IF(AND(Mammal_Chronic[[#This Row],[Relevance]]="Input provided", Count&gt;=1),
       IF(M_ChronicScheme="C(mix)",
                 HLOOKUP(Mammal_Chronic[[#This Row],[Crop]], Input_Scenario,10,FALSE)*Mammal_Chronic[[#This Row],[SVm]]*HLOOKUP(Mammal_Chronic[[#This Row],[Crop]],Input_Scenario,8,FALSE),""),"")</f>
        <v/>
      </c>
      <c r="H124" s="368" t="str">
        <f t="shared" si="4"/>
        <v/>
      </c>
      <c r="I124" s="370" t="str">
        <f>IFERROR(IF(Active1=TRUE,HLOOKUP(Mammal_Chronic[[#This Row],[Crop]],Input_Scenario,11,FALSE)*HLOOKUP(Mammal_Chronic[[#This Row],[Crop]],Input_Scenario,8,FALSE)*Mammal_Chronic[[#This Row],[SVm]],""),"")</f>
        <v/>
      </c>
      <c r="J124" s="370" t="str">
        <f t="shared" ca="1" si="5"/>
        <v/>
      </c>
      <c r="K124" s="370" t="str">
        <f>IFERROR(IF(Active2=TRUE,HLOOKUP(Mammal_Chronic[[#This Row],[Crop]],Input_Scenario,12,FALSE)*HLOOKUP(Mammal_Chronic[[#This Row],[Crop]],Input_Scenario,8,FALSE)*Mammal_Chronic[[#This Row],[SVm]],""),"")</f>
        <v/>
      </c>
      <c r="L124" s="370" t="str">
        <f ca="1">IF($B$3&lt;&gt;"Passive",IFERROR(IF(ISNUMBER(INDEX(Active[M_NOAEL], 2)),
                          INDEX(Active[M_NOAEL], 2)/K124,""),""),"")</f>
        <v/>
      </c>
      <c r="M124" s="370" t="str">
        <f>IFERROR(IF(Active3=TRUE,HLOOKUP(Mammal_Chronic[[#This Row],[Crop]],Input_Scenario,13,FALSE)*HLOOKUP(Mammal_Chronic[[#This Row],[Crop]],Input_Scenario,8,FALSE)*Mammal_Chronic[[#This Row],[SVm]],""),"")</f>
        <v/>
      </c>
      <c r="N124" s="370" t="str">
        <f ca="1">IF($B$3&lt;&gt;"Passive",IFERROR(IF(ISNUMBER(INDEX(Active[M_NOAEL], 3)),
                          INDEX(Active[M_NOAEL], 3)/M124,""),""),"")</f>
        <v/>
      </c>
      <c r="O124" s="370" t="str">
        <f>IFERROR(IF(Active4=TRUE,HLOOKUP(Mammal_Chronic[[#This Row],[Crop]],Input_Scenario,14,FALSE)*HLOOKUP(Mammal_Chronic[[#This Row],[Crop]],Input_Scenario,8,FALSE)*Mammal_Chronic[[#This Row],[SVm]],""),"")</f>
        <v/>
      </c>
      <c r="P124" s="370" t="str">
        <f ca="1">IF($B$3&lt;&gt;"Passive",IFERROR(IF(ISNUMBER(INDEX(Active[M_NOAEL], 4)),
                          INDEX(Active[M_NOAEL], 4)/O124,""),""),"")</f>
        <v/>
      </c>
      <c r="Q124" s="370" t="str">
        <f>IFERROR(IF(Active5=TRUE,HLOOKUP(Mammal_Chronic[[#This Row],[Crop]],Input_Scenario,15,FALSE)*HLOOKUP(Mammal_Chronic[[#This Row],[Crop]],Input_Scenario,8,FALSE)*Mammal_Chronic[[#This Row],[SVm]],""),"")</f>
        <v/>
      </c>
      <c r="R124" s="370" t="str">
        <f ca="1">IF($B$3&lt;&gt;"Passive",IFERROR(IF(ISNUMBER(INDEX(Active[M_NOAEL], 5)),
                          INDEX(Active[M_NOAEL], 5)/Q124,""),""),"")</f>
        <v/>
      </c>
    </row>
    <row r="125" spans="1:18">
      <c r="A125" s="56"/>
      <c r="B125" s="314" t="str">
        <f t="shared" ca="1" si="3"/>
        <v>No input</v>
      </c>
      <c r="C125" s="72" t="s">
        <v>175</v>
      </c>
      <c r="D125" s="73" t="s">
        <v>263</v>
      </c>
      <c r="E125" s="73" t="s">
        <v>271</v>
      </c>
      <c r="F125" s="113">
        <v>3.9</v>
      </c>
      <c r="G125" s="203" t="str">
        <f ca="1">IF(AND(Mammal_Chronic[[#This Row],[Relevance]]="Input provided", Count&gt;=1),
       IF(M_ChronicScheme="C(mix)",
                 HLOOKUP(Mammal_Chronic[[#This Row],[Crop]], Input_Scenario,10,FALSE)*Mammal_Chronic[[#This Row],[SVm]]*HLOOKUP(Mammal_Chronic[[#This Row],[Crop]],Input_Scenario,8,FALSE),""),"")</f>
        <v/>
      </c>
      <c r="H125" s="368" t="str">
        <f t="shared" si="4"/>
        <v/>
      </c>
      <c r="I125" s="370" t="str">
        <f>IFERROR(IF(Active1=TRUE,HLOOKUP(Mammal_Chronic[[#This Row],[Crop]],Input_Scenario,11,FALSE)*HLOOKUP(Mammal_Chronic[[#This Row],[Crop]],Input_Scenario,8,FALSE)*Mammal_Chronic[[#This Row],[SVm]],""),"")</f>
        <v/>
      </c>
      <c r="J125" s="370" t="str">
        <f t="shared" ca="1" si="5"/>
        <v/>
      </c>
      <c r="K125" s="370" t="str">
        <f>IFERROR(IF(Active2=TRUE,HLOOKUP(Mammal_Chronic[[#This Row],[Crop]],Input_Scenario,12,FALSE)*HLOOKUP(Mammal_Chronic[[#This Row],[Crop]],Input_Scenario,8,FALSE)*Mammal_Chronic[[#This Row],[SVm]],""),"")</f>
        <v/>
      </c>
      <c r="L125" s="370" t="str">
        <f ca="1">IF($B$3&lt;&gt;"Passive",IFERROR(IF(ISNUMBER(INDEX(Active[M_NOAEL], 2)),
                          INDEX(Active[M_NOAEL], 2)/K125,""),""),"")</f>
        <v/>
      </c>
      <c r="M125" s="370" t="str">
        <f>IFERROR(IF(Active3=TRUE,HLOOKUP(Mammal_Chronic[[#This Row],[Crop]],Input_Scenario,13,FALSE)*HLOOKUP(Mammal_Chronic[[#This Row],[Crop]],Input_Scenario,8,FALSE)*Mammal_Chronic[[#This Row],[SVm]],""),"")</f>
        <v/>
      </c>
      <c r="N125" s="370" t="str">
        <f ca="1">IF($B$3&lt;&gt;"Passive",IFERROR(IF(ISNUMBER(INDEX(Active[M_NOAEL], 3)),
                          INDEX(Active[M_NOAEL], 3)/M125,""),""),"")</f>
        <v/>
      </c>
      <c r="O125" s="370" t="str">
        <f>IFERROR(IF(Active4=TRUE,HLOOKUP(Mammal_Chronic[[#This Row],[Crop]],Input_Scenario,14,FALSE)*HLOOKUP(Mammal_Chronic[[#This Row],[Crop]],Input_Scenario,8,FALSE)*Mammal_Chronic[[#This Row],[SVm]],""),"")</f>
        <v/>
      </c>
      <c r="P125" s="370" t="str">
        <f ca="1">IF($B$3&lt;&gt;"Passive",IFERROR(IF(ISNUMBER(INDEX(Active[M_NOAEL], 4)),
                          INDEX(Active[M_NOAEL], 4)/O125,""),""),"")</f>
        <v/>
      </c>
      <c r="Q125" s="370" t="str">
        <f>IFERROR(IF(Active5=TRUE,HLOOKUP(Mammal_Chronic[[#This Row],[Crop]],Input_Scenario,15,FALSE)*HLOOKUP(Mammal_Chronic[[#This Row],[Crop]],Input_Scenario,8,FALSE)*Mammal_Chronic[[#This Row],[SVm]],""),"")</f>
        <v/>
      </c>
      <c r="R125" s="370" t="str">
        <f ca="1">IF($B$3&lt;&gt;"Passive",IFERROR(IF(ISNUMBER(INDEX(Active[M_NOAEL], 5)),
                          INDEX(Active[M_NOAEL], 5)/Q125,""),""),"")</f>
        <v/>
      </c>
    </row>
    <row r="126" spans="1:18">
      <c r="A126" s="56"/>
      <c r="B126" s="314" t="str">
        <f t="shared" ca="1" si="3"/>
        <v>No input</v>
      </c>
      <c r="C126" s="72" t="s">
        <v>178</v>
      </c>
      <c r="D126" s="73" t="s">
        <v>240</v>
      </c>
      <c r="E126" s="73" t="s">
        <v>272</v>
      </c>
      <c r="F126" s="113">
        <v>4.2</v>
      </c>
      <c r="G126" s="203" t="str">
        <f ca="1">IF(AND(Mammal_Chronic[[#This Row],[Relevance]]="Input provided", Count&gt;=1),
       IF(M_ChronicScheme="C(mix)",
                 HLOOKUP(Mammal_Chronic[[#This Row],[Crop]], Input_Scenario,10,FALSE)*Mammal_Chronic[[#This Row],[SVm]]*HLOOKUP(Mammal_Chronic[[#This Row],[Crop]],Input_Scenario,8,FALSE),""),"")</f>
        <v/>
      </c>
      <c r="H126" s="368" t="str">
        <f t="shared" si="4"/>
        <v/>
      </c>
      <c r="I126" s="370" t="str">
        <f>IFERROR(IF(Active1=TRUE,HLOOKUP(Mammal_Chronic[[#This Row],[Crop]],Input_Scenario,11,FALSE)*HLOOKUP(Mammal_Chronic[[#This Row],[Crop]],Input_Scenario,8,FALSE)*Mammal_Chronic[[#This Row],[SVm]],""),"")</f>
        <v/>
      </c>
      <c r="J126" s="370" t="str">
        <f t="shared" ca="1" si="5"/>
        <v/>
      </c>
      <c r="K126" s="370" t="str">
        <f>IFERROR(IF(Active2=TRUE,HLOOKUP(Mammal_Chronic[[#This Row],[Crop]],Input_Scenario,12,FALSE)*HLOOKUP(Mammal_Chronic[[#This Row],[Crop]],Input_Scenario,8,FALSE)*Mammal_Chronic[[#This Row],[SVm]],""),"")</f>
        <v/>
      </c>
      <c r="L126" s="370" t="str">
        <f ca="1">IF($B$3&lt;&gt;"Passive",IFERROR(IF(ISNUMBER(INDEX(Active[M_NOAEL], 2)),
                          INDEX(Active[M_NOAEL], 2)/K126,""),""),"")</f>
        <v/>
      </c>
      <c r="M126" s="370" t="str">
        <f>IFERROR(IF(Active3=TRUE,HLOOKUP(Mammal_Chronic[[#This Row],[Crop]],Input_Scenario,13,FALSE)*HLOOKUP(Mammal_Chronic[[#This Row],[Crop]],Input_Scenario,8,FALSE)*Mammal_Chronic[[#This Row],[SVm]],""),"")</f>
        <v/>
      </c>
      <c r="N126" s="370" t="str">
        <f ca="1">IF($B$3&lt;&gt;"Passive",IFERROR(IF(ISNUMBER(INDEX(Active[M_NOAEL], 3)),
                          INDEX(Active[M_NOAEL], 3)/M126,""),""),"")</f>
        <v/>
      </c>
      <c r="O126" s="370" t="str">
        <f>IFERROR(IF(Active4=TRUE,HLOOKUP(Mammal_Chronic[[#This Row],[Crop]],Input_Scenario,14,FALSE)*HLOOKUP(Mammal_Chronic[[#This Row],[Crop]],Input_Scenario,8,FALSE)*Mammal_Chronic[[#This Row],[SVm]],""),"")</f>
        <v/>
      </c>
      <c r="P126" s="370" t="str">
        <f ca="1">IF($B$3&lt;&gt;"Passive",IFERROR(IF(ISNUMBER(INDEX(Active[M_NOAEL], 4)),
                          INDEX(Active[M_NOAEL], 4)/O126,""),""),"")</f>
        <v/>
      </c>
      <c r="Q126" s="370" t="str">
        <f>IFERROR(IF(Active5=TRUE,HLOOKUP(Mammal_Chronic[[#This Row],[Crop]],Input_Scenario,15,FALSE)*HLOOKUP(Mammal_Chronic[[#This Row],[Crop]],Input_Scenario,8,FALSE)*Mammal_Chronic[[#This Row],[SVm]],""),"")</f>
        <v/>
      </c>
      <c r="R126" s="370" t="str">
        <f ca="1">IF($B$3&lt;&gt;"Passive",IFERROR(IF(ISNUMBER(INDEX(Active[M_NOAEL], 5)),
                          INDEX(Active[M_NOAEL], 5)/Q126,""),""),"")</f>
        <v/>
      </c>
    </row>
    <row r="127" spans="1:18">
      <c r="A127" s="56"/>
      <c r="B127" s="314" t="str">
        <f t="shared" ca="1" si="3"/>
        <v>No input</v>
      </c>
      <c r="C127" s="72" t="s">
        <v>178</v>
      </c>
      <c r="D127" s="73" t="s">
        <v>264</v>
      </c>
      <c r="E127" s="73" t="s">
        <v>275</v>
      </c>
      <c r="F127" s="113">
        <v>14.3</v>
      </c>
      <c r="G127" s="203" t="str">
        <f ca="1">IF(AND(Mammal_Chronic[[#This Row],[Relevance]]="Input provided", Count&gt;=1),
       IF(M_ChronicScheme="C(mix)",
                 HLOOKUP(Mammal_Chronic[[#This Row],[Crop]], Input_Scenario,10,FALSE)*Mammal_Chronic[[#This Row],[SVm]]*HLOOKUP(Mammal_Chronic[[#This Row],[Crop]],Input_Scenario,8,FALSE),""),"")</f>
        <v/>
      </c>
      <c r="H127" s="368" t="str">
        <f t="shared" si="4"/>
        <v/>
      </c>
      <c r="I127" s="370" t="str">
        <f>IFERROR(IF(Active1=TRUE,HLOOKUP(Mammal_Chronic[[#This Row],[Crop]],Input_Scenario,11,FALSE)*HLOOKUP(Mammal_Chronic[[#This Row],[Crop]],Input_Scenario,8,FALSE)*Mammal_Chronic[[#This Row],[SVm]],""),"")</f>
        <v/>
      </c>
      <c r="J127" s="370" t="str">
        <f t="shared" ca="1" si="5"/>
        <v/>
      </c>
      <c r="K127" s="370" t="str">
        <f>IFERROR(IF(Active2=TRUE,HLOOKUP(Mammal_Chronic[[#This Row],[Crop]],Input_Scenario,12,FALSE)*HLOOKUP(Mammal_Chronic[[#This Row],[Crop]],Input_Scenario,8,FALSE)*Mammal_Chronic[[#This Row],[SVm]],""),"")</f>
        <v/>
      </c>
      <c r="L127" s="370" t="str">
        <f ca="1">IF($B$3&lt;&gt;"Passive",IFERROR(IF(ISNUMBER(INDEX(Active[M_NOAEL], 2)),
                          INDEX(Active[M_NOAEL], 2)/K127,""),""),"")</f>
        <v/>
      </c>
      <c r="M127" s="370" t="str">
        <f>IFERROR(IF(Active3=TRUE,HLOOKUP(Mammal_Chronic[[#This Row],[Crop]],Input_Scenario,13,FALSE)*HLOOKUP(Mammal_Chronic[[#This Row],[Crop]],Input_Scenario,8,FALSE)*Mammal_Chronic[[#This Row],[SVm]],""),"")</f>
        <v/>
      </c>
      <c r="N127" s="370" t="str">
        <f ca="1">IF($B$3&lt;&gt;"Passive",IFERROR(IF(ISNUMBER(INDEX(Active[M_NOAEL], 3)),
                          INDEX(Active[M_NOAEL], 3)/M127,""),""),"")</f>
        <v/>
      </c>
      <c r="O127" s="370" t="str">
        <f>IFERROR(IF(Active4=TRUE,HLOOKUP(Mammal_Chronic[[#This Row],[Crop]],Input_Scenario,14,FALSE)*HLOOKUP(Mammal_Chronic[[#This Row],[Crop]],Input_Scenario,8,FALSE)*Mammal_Chronic[[#This Row],[SVm]],""),"")</f>
        <v/>
      </c>
      <c r="P127" s="370" t="str">
        <f ca="1">IF($B$3&lt;&gt;"Passive",IFERROR(IF(ISNUMBER(INDEX(Active[M_NOAEL], 4)),
                          INDEX(Active[M_NOAEL], 4)/O127,""),""),"")</f>
        <v/>
      </c>
      <c r="Q127" s="370" t="str">
        <f>IFERROR(IF(Active5=TRUE,HLOOKUP(Mammal_Chronic[[#This Row],[Crop]],Input_Scenario,15,FALSE)*HLOOKUP(Mammal_Chronic[[#This Row],[Crop]],Input_Scenario,8,FALSE)*Mammal_Chronic[[#This Row],[SVm]],""),"")</f>
        <v/>
      </c>
      <c r="R127" s="370" t="str">
        <f ca="1">IF($B$3&lt;&gt;"Passive",IFERROR(IF(ISNUMBER(INDEX(Active[M_NOAEL], 5)),
                          INDEX(Active[M_NOAEL], 5)/Q127,""),""),"")</f>
        <v/>
      </c>
    </row>
    <row r="128" spans="1:18">
      <c r="A128" s="56"/>
      <c r="B128" s="314" t="str">
        <f t="shared" ca="1" si="3"/>
        <v>No input</v>
      </c>
      <c r="C128" s="72" t="s">
        <v>178</v>
      </c>
      <c r="D128" s="73" t="s">
        <v>265</v>
      </c>
      <c r="E128" s="73" t="s">
        <v>271</v>
      </c>
      <c r="F128" s="113">
        <v>7.8</v>
      </c>
      <c r="G128" s="203" t="str">
        <f ca="1">IF(AND(Mammal_Chronic[[#This Row],[Relevance]]="Input provided", Count&gt;=1),
       IF(M_ChronicScheme="C(mix)",
                 HLOOKUP(Mammal_Chronic[[#This Row],[Crop]], Input_Scenario,10,FALSE)*Mammal_Chronic[[#This Row],[SVm]]*HLOOKUP(Mammal_Chronic[[#This Row],[Crop]],Input_Scenario,8,FALSE),""),"")</f>
        <v/>
      </c>
      <c r="H128" s="368" t="str">
        <f t="shared" si="4"/>
        <v/>
      </c>
      <c r="I128" s="370" t="str">
        <f>IFERROR(IF(Active1=TRUE,HLOOKUP(Mammal_Chronic[[#This Row],[Crop]],Input_Scenario,11,FALSE)*HLOOKUP(Mammal_Chronic[[#This Row],[Crop]],Input_Scenario,8,FALSE)*Mammal_Chronic[[#This Row],[SVm]],""),"")</f>
        <v/>
      </c>
      <c r="J128" s="370" t="str">
        <f t="shared" ca="1" si="5"/>
        <v/>
      </c>
      <c r="K128" s="370" t="str">
        <f>IFERROR(IF(Active2=TRUE,HLOOKUP(Mammal_Chronic[[#This Row],[Crop]],Input_Scenario,12,FALSE)*HLOOKUP(Mammal_Chronic[[#This Row],[Crop]],Input_Scenario,8,FALSE)*Mammal_Chronic[[#This Row],[SVm]],""),"")</f>
        <v/>
      </c>
      <c r="L128" s="370" t="str">
        <f ca="1">IF($B$3&lt;&gt;"Passive",IFERROR(IF(ISNUMBER(INDEX(Active[M_NOAEL], 2)),
                          INDEX(Active[M_NOAEL], 2)/K128,""),""),"")</f>
        <v/>
      </c>
      <c r="M128" s="370" t="str">
        <f>IFERROR(IF(Active3=TRUE,HLOOKUP(Mammal_Chronic[[#This Row],[Crop]],Input_Scenario,13,FALSE)*HLOOKUP(Mammal_Chronic[[#This Row],[Crop]],Input_Scenario,8,FALSE)*Mammal_Chronic[[#This Row],[SVm]],""),"")</f>
        <v/>
      </c>
      <c r="N128" s="370" t="str">
        <f ca="1">IF($B$3&lt;&gt;"Passive",IFERROR(IF(ISNUMBER(INDEX(Active[M_NOAEL], 3)),
                          INDEX(Active[M_NOAEL], 3)/M128,""),""),"")</f>
        <v/>
      </c>
      <c r="O128" s="370" t="str">
        <f>IFERROR(IF(Active4=TRUE,HLOOKUP(Mammal_Chronic[[#This Row],[Crop]],Input_Scenario,14,FALSE)*HLOOKUP(Mammal_Chronic[[#This Row],[Crop]],Input_Scenario,8,FALSE)*Mammal_Chronic[[#This Row],[SVm]],""),"")</f>
        <v/>
      </c>
      <c r="P128" s="370" t="str">
        <f ca="1">IF($B$3&lt;&gt;"Passive",IFERROR(IF(ISNUMBER(INDEX(Active[M_NOAEL], 4)),
                          INDEX(Active[M_NOAEL], 4)/O128,""),""),"")</f>
        <v/>
      </c>
      <c r="Q128" s="370" t="str">
        <f>IFERROR(IF(Active5=TRUE,HLOOKUP(Mammal_Chronic[[#This Row],[Crop]],Input_Scenario,15,FALSE)*HLOOKUP(Mammal_Chronic[[#This Row],[Crop]],Input_Scenario,8,FALSE)*Mammal_Chronic[[#This Row],[SVm]],""),"")</f>
        <v/>
      </c>
      <c r="R128" s="370" t="str">
        <f ca="1">IF($B$3&lt;&gt;"Passive",IFERROR(IF(ISNUMBER(INDEX(Active[M_NOAEL], 5)),
                          INDEX(Active[M_NOAEL], 5)/Q128,""),""),"")</f>
        <v/>
      </c>
    </row>
    <row r="129" spans="1:18">
      <c r="A129" s="56"/>
      <c r="B129" s="314" t="str">
        <f t="shared" ca="1" si="3"/>
        <v>No input</v>
      </c>
      <c r="C129" s="72" t="s">
        <v>178</v>
      </c>
      <c r="D129" s="73" t="s">
        <v>111</v>
      </c>
      <c r="E129" s="73" t="s">
        <v>272</v>
      </c>
      <c r="F129" s="113">
        <v>1.9</v>
      </c>
      <c r="G129" s="203" t="str">
        <f ca="1">IF(AND(Mammal_Chronic[[#This Row],[Relevance]]="Input provided", Count&gt;=1),
       IF(M_ChronicScheme="C(mix)",
                 HLOOKUP(Mammal_Chronic[[#This Row],[Crop]], Input_Scenario,10,FALSE)*Mammal_Chronic[[#This Row],[SVm]]*HLOOKUP(Mammal_Chronic[[#This Row],[Crop]],Input_Scenario,8,FALSE),""),"")</f>
        <v/>
      </c>
      <c r="H129" s="368" t="str">
        <f t="shared" si="4"/>
        <v/>
      </c>
      <c r="I129" s="370" t="str">
        <f>IFERROR(IF(Active1=TRUE,HLOOKUP(Mammal_Chronic[[#This Row],[Crop]],Input_Scenario,11,FALSE)*HLOOKUP(Mammal_Chronic[[#This Row],[Crop]],Input_Scenario,8,FALSE)*Mammal_Chronic[[#This Row],[SVm]],""),"")</f>
        <v/>
      </c>
      <c r="J129" s="370" t="str">
        <f t="shared" ca="1" si="5"/>
        <v/>
      </c>
      <c r="K129" s="370" t="str">
        <f>IFERROR(IF(Active2=TRUE,HLOOKUP(Mammal_Chronic[[#This Row],[Crop]],Input_Scenario,12,FALSE)*HLOOKUP(Mammal_Chronic[[#This Row],[Crop]],Input_Scenario,8,FALSE)*Mammal_Chronic[[#This Row],[SVm]],""),"")</f>
        <v/>
      </c>
      <c r="L129" s="370" t="str">
        <f ca="1">IF($B$3&lt;&gt;"Passive",IFERROR(IF(ISNUMBER(INDEX(Active[M_NOAEL], 2)),
                          INDEX(Active[M_NOAEL], 2)/K129,""),""),"")</f>
        <v/>
      </c>
      <c r="M129" s="370" t="str">
        <f>IFERROR(IF(Active3=TRUE,HLOOKUP(Mammal_Chronic[[#This Row],[Crop]],Input_Scenario,13,FALSE)*HLOOKUP(Mammal_Chronic[[#This Row],[Crop]],Input_Scenario,8,FALSE)*Mammal_Chronic[[#This Row],[SVm]],""),"")</f>
        <v/>
      </c>
      <c r="N129" s="370" t="str">
        <f ca="1">IF($B$3&lt;&gt;"Passive",IFERROR(IF(ISNUMBER(INDEX(Active[M_NOAEL], 3)),
                          INDEX(Active[M_NOAEL], 3)/M129,""),""),"")</f>
        <v/>
      </c>
      <c r="O129" s="370" t="str">
        <f>IFERROR(IF(Active4=TRUE,HLOOKUP(Mammal_Chronic[[#This Row],[Crop]],Input_Scenario,14,FALSE)*HLOOKUP(Mammal_Chronic[[#This Row],[Crop]],Input_Scenario,8,FALSE)*Mammal_Chronic[[#This Row],[SVm]],""),"")</f>
        <v/>
      </c>
      <c r="P129" s="370" t="str">
        <f ca="1">IF($B$3&lt;&gt;"Passive",IFERROR(IF(ISNUMBER(INDEX(Active[M_NOAEL], 4)),
                          INDEX(Active[M_NOAEL], 4)/O129,""),""),"")</f>
        <v/>
      </c>
      <c r="Q129" s="370" t="str">
        <f>IFERROR(IF(Active5=TRUE,HLOOKUP(Mammal_Chronic[[#This Row],[Crop]],Input_Scenario,15,FALSE)*HLOOKUP(Mammal_Chronic[[#This Row],[Crop]],Input_Scenario,8,FALSE)*Mammal_Chronic[[#This Row],[SVm]],""),"")</f>
        <v/>
      </c>
      <c r="R129" s="370" t="str">
        <f ca="1">IF($B$3&lt;&gt;"Passive",IFERROR(IF(ISNUMBER(INDEX(Active[M_NOAEL], 5)),
                          INDEX(Active[M_NOAEL], 5)/Q129,""),""),"")</f>
        <v/>
      </c>
    </row>
    <row r="130" spans="1:18">
      <c r="A130" s="56"/>
      <c r="B130" s="314" t="str">
        <f t="shared" ca="1" si="3"/>
        <v>No input</v>
      </c>
      <c r="C130" s="72" t="s">
        <v>178</v>
      </c>
      <c r="D130" s="73" t="s">
        <v>109</v>
      </c>
      <c r="E130" s="73" t="s">
        <v>273</v>
      </c>
      <c r="F130" s="113">
        <v>21.7</v>
      </c>
      <c r="G130" s="203" t="str">
        <f ca="1">IF(AND(Mammal_Chronic[[#This Row],[Relevance]]="Input provided", Count&gt;=1),
       IF(M_ChronicScheme="C(mix)",
                 HLOOKUP(Mammal_Chronic[[#This Row],[Crop]], Input_Scenario,10,FALSE)*Mammal_Chronic[[#This Row],[SVm]]*HLOOKUP(Mammal_Chronic[[#This Row],[Crop]],Input_Scenario,8,FALSE),""),"")</f>
        <v/>
      </c>
      <c r="H130" s="368" t="str">
        <f t="shared" si="4"/>
        <v/>
      </c>
      <c r="I130" s="370" t="str">
        <f>IFERROR(IF(Active1=TRUE,HLOOKUP(Mammal_Chronic[[#This Row],[Crop]],Input_Scenario,11,FALSE)*HLOOKUP(Mammal_Chronic[[#This Row],[Crop]],Input_Scenario,8,FALSE)*Mammal_Chronic[[#This Row],[SVm]],""),"")</f>
        <v/>
      </c>
      <c r="J130" s="370" t="str">
        <f t="shared" ca="1" si="5"/>
        <v/>
      </c>
      <c r="K130" s="370" t="str">
        <f>IFERROR(IF(Active2=TRUE,HLOOKUP(Mammal_Chronic[[#This Row],[Crop]],Input_Scenario,12,FALSE)*HLOOKUP(Mammal_Chronic[[#This Row],[Crop]],Input_Scenario,8,FALSE)*Mammal_Chronic[[#This Row],[SVm]],""),"")</f>
        <v/>
      </c>
      <c r="L130" s="370" t="str">
        <f ca="1">IF($B$3&lt;&gt;"Passive",IFERROR(IF(ISNUMBER(INDEX(Active[M_NOAEL], 2)),
                          INDEX(Active[M_NOAEL], 2)/K130,""),""),"")</f>
        <v/>
      </c>
      <c r="M130" s="370" t="str">
        <f>IFERROR(IF(Active3=TRUE,HLOOKUP(Mammal_Chronic[[#This Row],[Crop]],Input_Scenario,13,FALSE)*HLOOKUP(Mammal_Chronic[[#This Row],[Crop]],Input_Scenario,8,FALSE)*Mammal_Chronic[[#This Row],[SVm]],""),"")</f>
        <v/>
      </c>
      <c r="N130" s="370" t="str">
        <f ca="1">IF($B$3&lt;&gt;"Passive",IFERROR(IF(ISNUMBER(INDEX(Active[M_NOAEL], 3)),
                          INDEX(Active[M_NOAEL], 3)/M130,""),""),"")</f>
        <v/>
      </c>
      <c r="O130" s="370" t="str">
        <f>IFERROR(IF(Active4=TRUE,HLOOKUP(Mammal_Chronic[[#This Row],[Crop]],Input_Scenario,14,FALSE)*HLOOKUP(Mammal_Chronic[[#This Row],[Crop]],Input_Scenario,8,FALSE)*Mammal_Chronic[[#This Row],[SVm]],""),"")</f>
        <v/>
      </c>
      <c r="P130" s="370" t="str">
        <f ca="1">IF($B$3&lt;&gt;"Passive",IFERROR(IF(ISNUMBER(INDEX(Active[M_NOAEL], 4)),
                          INDEX(Active[M_NOAEL], 4)/O130,""),""),"")</f>
        <v/>
      </c>
      <c r="Q130" s="370" t="str">
        <f>IFERROR(IF(Active5=TRUE,HLOOKUP(Mammal_Chronic[[#This Row],[Crop]],Input_Scenario,15,FALSE)*HLOOKUP(Mammal_Chronic[[#This Row],[Crop]],Input_Scenario,8,FALSE)*Mammal_Chronic[[#This Row],[SVm]],""),"")</f>
        <v/>
      </c>
      <c r="R130" s="370" t="str">
        <f ca="1">IF($B$3&lt;&gt;"Passive",IFERROR(IF(ISNUMBER(INDEX(Active[M_NOAEL], 5)),
                          INDEX(Active[M_NOAEL], 5)/Q130,""),""),"")</f>
        <v/>
      </c>
    </row>
    <row r="131" spans="1:18">
      <c r="A131" s="56"/>
      <c r="B131" s="314" t="str">
        <f t="shared" ca="1" si="3"/>
        <v>No input</v>
      </c>
      <c r="C131" s="72" t="s">
        <v>178</v>
      </c>
      <c r="D131" s="73" t="s">
        <v>109</v>
      </c>
      <c r="E131" s="73" t="s">
        <v>275</v>
      </c>
      <c r="F131" s="113">
        <v>4.3</v>
      </c>
      <c r="G131" s="203" t="str">
        <f ca="1">IF(AND(Mammal_Chronic[[#This Row],[Relevance]]="Input provided", Count&gt;=1),
       IF(M_ChronicScheme="C(mix)",
                 HLOOKUP(Mammal_Chronic[[#This Row],[Crop]], Input_Scenario,10,FALSE)*Mammal_Chronic[[#This Row],[SVm]]*HLOOKUP(Mammal_Chronic[[#This Row],[Crop]],Input_Scenario,8,FALSE),""),"")</f>
        <v/>
      </c>
      <c r="H131" s="368" t="str">
        <f t="shared" si="4"/>
        <v/>
      </c>
      <c r="I131" s="370" t="str">
        <f>IFERROR(IF(Active1=TRUE,HLOOKUP(Mammal_Chronic[[#This Row],[Crop]],Input_Scenario,11,FALSE)*HLOOKUP(Mammal_Chronic[[#This Row],[Crop]],Input_Scenario,8,FALSE)*Mammal_Chronic[[#This Row],[SVm]],""),"")</f>
        <v/>
      </c>
      <c r="J131" s="370" t="str">
        <f t="shared" ca="1" si="5"/>
        <v/>
      </c>
      <c r="K131" s="370" t="str">
        <f>IFERROR(IF(Active2=TRUE,HLOOKUP(Mammal_Chronic[[#This Row],[Crop]],Input_Scenario,12,FALSE)*HLOOKUP(Mammal_Chronic[[#This Row],[Crop]],Input_Scenario,8,FALSE)*Mammal_Chronic[[#This Row],[SVm]],""),"")</f>
        <v/>
      </c>
      <c r="L131" s="370" t="str">
        <f ca="1">IF($B$3&lt;&gt;"Passive",IFERROR(IF(ISNUMBER(INDEX(Active[M_NOAEL], 2)),
                          INDEX(Active[M_NOAEL], 2)/K131,""),""),"")</f>
        <v/>
      </c>
      <c r="M131" s="370" t="str">
        <f>IFERROR(IF(Active3=TRUE,HLOOKUP(Mammal_Chronic[[#This Row],[Crop]],Input_Scenario,13,FALSE)*HLOOKUP(Mammal_Chronic[[#This Row],[Crop]],Input_Scenario,8,FALSE)*Mammal_Chronic[[#This Row],[SVm]],""),"")</f>
        <v/>
      </c>
      <c r="N131" s="370" t="str">
        <f ca="1">IF($B$3&lt;&gt;"Passive",IFERROR(IF(ISNUMBER(INDEX(Active[M_NOAEL], 3)),
                          INDEX(Active[M_NOAEL], 3)/M131,""),""),"")</f>
        <v/>
      </c>
      <c r="O131" s="370" t="str">
        <f>IFERROR(IF(Active4=TRUE,HLOOKUP(Mammal_Chronic[[#This Row],[Crop]],Input_Scenario,14,FALSE)*HLOOKUP(Mammal_Chronic[[#This Row],[Crop]],Input_Scenario,8,FALSE)*Mammal_Chronic[[#This Row],[SVm]],""),"")</f>
        <v/>
      </c>
      <c r="P131" s="370" t="str">
        <f ca="1">IF($B$3&lt;&gt;"Passive",IFERROR(IF(ISNUMBER(INDEX(Active[M_NOAEL], 4)),
                          INDEX(Active[M_NOAEL], 4)/O131,""),""),"")</f>
        <v/>
      </c>
      <c r="Q131" s="370" t="str">
        <f>IFERROR(IF(Active5=TRUE,HLOOKUP(Mammal_Chronic[[#This Row],[Crop]],Input_Scenario,15,FALSE)*HLOOKUP(Mammal_Chronic[[#This Row],[Crop]],Input_Scenario,8,FALSE)*Mammal_Chronic[[#This Row],[SVm]],""),"")</f>
        <v/>
      </c>
      <c r="R131" s="370" t="str">
        <f ca="1">IF($B$3&lt;&gt;"Passive",IFERROR(IF(ISNUMBER(INDEX(Active[M_NOAEL], 5)),
                          INDEX(Active[M_NOAEL], 5)/Q131,""),""),"")</f>
        <v/>
      </c>
    </row>
    <row r="132" spans="1:18">
      <c r="A132" s="56"/>
      <c r="B132" s="314" t="str">
        <f t="shared" ca="1" si="3"/>
        <v>No input</v>
      </c>
      <c r="C132" s="72" t="s">
        <v>178</v>
      </c>
      <c r="D132" s="73" t="s">
        <v>109</v>
      </c>
      <c r="E132" s="73" t="s">
        <v>271</v>
      </c>
      <c r="F132" s="113">
        <v>2.2999999999999998</v>
      </c>
      <c r="G132" s="203" t="str">
        <f ca="1">IF(AND(Mammal_Chronic[[#This Row],[Relevance]]="Input provided", Count&gt;=1),
       IF(M_ChronicScheme="C(mix)",
                 HLOOKUP(Mammal_Chronic[[#This Row],[Crop]], Input_Scenario,10,FALSE)*Mammal_Chronic[[#This Row],[SVm]]*HLOOKUP(Mammal_Chronic[[#This Row],[Crop]],Input_Scenario,8,FALSE),""),"")</f>
        <v/>
      </c>
      <c r="H132" s="368" t="str">
        <f t="shared" si="4"/>
        <v/>
      </c>
      <c r="I132" s="370" t="str">
        <f>IFERROR(IF(Active1=TRUE,HLOOKUP(Mammal_Chronic[[#This Row],[Crop]],Input_Scenario,11,FALSE)*HLOOKUP(Mammal_Chronic[[#This Row],[Crop]],Input_Scenario,8,FALSE)*Mammal_Chronic[[#This Row],[SVm]],""),"")</f>
        <v/>
      </c>
      <c r="J132" s="370" t="str">
        <f t="shared" ca="1" si="5"/>
        <v/>
      </c>
      <c r="K132" s="370" t="str">
        <f>IFERROR(IF(Active2=TRUE,HLOOKUP(Mammal_Chronic[[#This Row],[Crop]],Input_Scenario,12,FALSE)*HLOOKUP(Mammal_Chronic[[#This Row],[Crop]],Input_Scenario,8,FALSE)*Mammal_Chronic[[#This Row],[SVm]],""),"")</f>
        <v/>
      </c>
      <c r="L132" s="370" t="str">
        <f ca="1">IF($B$3&lt;&gt;"Passive",IFERROR(IF(ISNUMBER(INDEX(Active[M_NOAEL], 2)),
                          INDEX(Active[M_NOAEL], 2)/K132,""),""),"")</f>
        <v/>
      </c>
      <c r="M132" s="370" t="str">
        <f>IFERROR(IF(Active3=TRUE,HLOOKUP(Mammal_Chronic[[#This Row],[Crop]],Input_Scenario,13,FALSE)*HLOOKUP(Mammal_Chronic[[#This Row],[Crop]],Input_Scenario,8,FALSE)*Mammal_Chronic[[#This Row],[SVm]],""),"")</f>
        <v/>
      </c>
      <c r="N132" s="370" t="str">
        <f ca="1">IF($B$3&lt;&gt;"Passive",IFERROR(IF(ISNUMBER(INDEX(Active[M_NOAEL], 3)),
                          INDEX(Active[M_NOAEL], 3)/M132,""),""),"")</f>
        <v/>
      </c>
      <c r="O132" s="370" t="str">
        <f>IFERROR(IF(Active4=TRUE,HLOOKUP(Mammal_Chronic[[#This Row],[Crop]],Input_Scenario,14,FALSE)*HLOOKUP(Mammal_Chronic[[#This Row],[Crop]],Input_Scenario,8,FALSE)*Mammal_Chronic[[#This Row],[SVm]],""),"")</f>
        <v/>
      </c>
      <c r="P132" s="370" t="str">
        <f ca="1">IF($B$3&lt;&gt;"Passive",IFERROR(IF(ISNUMBER(INDEX(Active[M_NOAEL], 4)),
                          INDEX(Active[M_NOAEL], 4)/O132,""),""),"")</f>
        <v/>
      </c>
      <c r="Q132" s="370" t="str">
        <f>IFERROR(IF(Active5=TRUE,HLOOKUP(Mammal_Chronic[[#This Row],[Crop]],Input_Scenario,15,FALSE)*HLOOKUP(Mammal_Chronic[[#This Row],[Crop]],Input_Scenario,8,FALSE)*Mammal_Chronic[[#This Row],[SVm]],""),"")</f>
        <v/>
      </c>
      <c r="R132" s="370" t="str">
        <f ca="1">IF($B$3&lt;&gt;"Passive",IFERROR(IF(ISNUMBER(INDEX(Active[M_NOAEL], 5)),
                          INDEX(Active[M_NOAEL], 5)/Q132,""),""),"")</f>
        <v/>
      </c>
    </row>
    <row r="133" spans="1:18">
      <c r="A133" s="56"/>
      <c r="B133" s="314" t="str">
        <f t="shared" ca="1" si="3"/>
        <v>No input</v>
      </c>
      <c r="C133" s="72" t="s">
        <v>179</v>
      </c>
      <c r="D133" s="73" t="s">
        <v>108</v>
      </c>
      <c r="E133" s="73" t="s">
        <v>272</v>
      </c>
      <c r="F133" s="113">
        <v>4.2</v>
      </c>
      <c r="G133" s="203" t="str">
        <f ca="1">IF(AND(Mammal_Chronic[[#This Row],[Relevance]]="Input provided", Count&gt;=1),
       IF(M_ChronicScheme="C(mix)",
                 HLOOKUP(Mammal_Chronic[[#This Row],[Crop]], Input_Scenario,10,FALSE)*Mammal_Chronic[[#This Row],[SVm]]*HLOOKUP(Mammal_Chronic[[#This Row],[Crop]],Input_Scenario,8,FALSE),""),"")</f>
        <v/>
      </c>
      <c r="H133" s="368" t="str">
        <f t="shared" si="4"/>
        <v/>
      </c>
      <c r="I133" s="370" t="str">
        <f>IFERROR(IF(Active1=TRUE,HLOOKUP(Mammal_Chronic[[#This Row],[Crop]],Input_Scenario,11,FALSE)*HLOOKUP(Mammal_Chronic[[#This Row],[Crop]],Input_Scenario,8,FALSE)*Mammal_Chronic[[#This Row],[SVm]],""),"")</f>
        <v/>
      </c>
      <c r="J133" s="370" t="str">
        <f t="shared" ca="1" si="5"/>
        <v/>
      </c>
      <c r="K133" s="370" t="str">
        <f>IFERROR(IF(Active2=TRUE,HLOOKUP(Mammal_Chronic[[#This Row],[Crop]],Input_Scenario,12,FALSE)*HLOOKUP(Mammal_Chronic[[#This Row],[Crop]],Input_Scenario,8,FALSE)*Mammal_Chronic[[#This Row],[SVm]],""),"")</f>
        <v/>
      </c>
      <c r="L133" s="370" t="str">
        <f ca="1">IF($B$3&lt;&gt;"Passive",IFERROR(IF(ISNUMBER(INDEX(Active[M_NOAEL], 2)),
                          INDEX(Active[M_NOAEL], 2)/K133,""),""),"")</f>
        <v/>
      </c>
      <c r="M133" s="370" t="str">
        <f>IFERROR(IF(Active3=TRUE,HLOOKUP(Mammal_Chronic[[#This Row],[Crop]],Input_Scenario,13,FALSE)*HLOOKUP(Mammal_Chronic[[#This Row],[Crop]],Input_Scenario,8,FALSE)*Mammal_Chronic[[#This Row],[SVm]],""),"")</f>
        <v/>
      </c>
      <c r="N133" s="370" t="str">
        <f ca="1">IF($B$3&lt;&gt;"Passive",IFERROR(IF(ISNUMBER(INDEX(Active[M_NOAEL], 3)),
                          INDEX(Active[M_NOAEL], 3)/M133,""),""),"")</f>
        <v/>
      </c>
      <c r="O133" s="370" t="str">
        <f>IFERROR(IF(Active4=TRUE,HLOOKUP(Mammal_Chronic[[#This Row],[Crop]],Input_Scenario,14,FALSE)*HLOOKUP(Mammal_Chronic[[#This Row],[Crop]],Input_Scenario,8,FALSE)*Mammal_Chronic[[#This Row],[SVm]],""),"")</f>
        <v/>
      </c>
      <c r="P133" s="370" t="str">
        <f ca="1">IF($B$3&lt;&gt;"Passive",IFERROR(IF(ISNUMBER(INDEX(Active[M_NOAEL], 4)),
                          INDEX(Active[M_NOAEL], 4)/O133,""),""),"")</f>
        <v/>
      </c>
      <c r="Q133" s="370" t="str">
        <f>IFERROR(IF(Active5=TRUE,HLOOKUP(Mammal_Chronic[[#This Row],[Crop]],Input_Scenario,15,FALSE)*HLOOKUP(Mammal_Chronic[[#This Row],[Crop]],Input_Scenario,8,FALSE)*Mammal_Chronic[[#This Row],[SVm]],""),"")</f>
        <v/>
      </c>
      <c r="R133" s="370" t="str">
        <f ca="1">IF($B$3&lt;&gt;"Passive",IFERROR(IF(ISNUMBER(INDEX(Active[M_NOAEL], 5)),
                          INDEX(Active[M_NOAEL], 5)/Q133,""),""),"")</f>
        <v/>
      </c>
    </row>
    <row r="134" spans="1:18">
      <c r="A134" s="56"/>
      <c r="B134" s="314" t="str">
        <f t="shared" ca="1" si="3"/>
        <v>No input</v>
      </c>
      <c r="C134" s="72" t="s">
        <v>179</v>
      </c>
      <c r="D134" s="73" t="s">
        <v>132</v>
      </c>
      <c r="E134" s="73" t="s">
        <v>275</v>
      </c>
      <c r="F134" s="113">
        <v>14.3</v>
      </c>
      <c r="G134" s="203" t="str">
        <f ca="1">IF(AND(Mammal_Chronic[[#This Row],[Relevance]]="Input provided", Count&gt;=1),
       IF(M_ChronicScheme="C(mix)",
                 HLOOKUP(Mammal_Chronic[[#This Row],[Crop]], Input_Scenario,10,FALSE)*Mammal_Chronic[[#This Row],[SVm]]*HLOOKUP(Mammal_Chronic[[#This Row],[Crop]],Input_Scenario,8,FALSE),""),"")</f>
        <v/>
      </c>
      <c r="H134" s="368" t="str">
        <f t="shared" si="4"/>
        <v/>
      </c>
      <c r="I134" s="370" t="str">
        <f>IFERROR(IF(Active1=TRUE,HLOOKUP(Mammal_Chronic[[#This Row],[Crop]],Input_Scenario,11,FALSE)*HLOOKUP(Mammal_Chronic[[#This Row],[Crop]],Input_Scenario,8,FALSE)*Mammal_Chronic[[#This Row],[SVm]],""),"")</f>
        <v/>
      </c>
      <c r="J134" s="370" t="str">
        <f t="shared" ca="1" si="5"/>
        <v/>
      </c>
      <c r="K134" s="370" t="str">
        <f>IFERROR(IF(Active2=TRUE,HLOOKUP(Mammal_Chronic[[#This Row],[Crop]],Input_Scenario,12,FALSE)*HLOOKUP(Mammal_Chronic[[#This Row],[Crop]],Input_Scenario,8,FALSE)*Mammal_Chronic[[#This Row],[SVm]],""),"")</f>
        <v/>
      </c>
      <c r="L134" s="370" t="str">
        <f ca="1">IF($B$3&lt;&gt;"Passive",IFERROR(IF(ISNUMBER(INDEX(Active[M_NOAEL], 2)),
                          INDEX(Active[M_NOAEL], 2)/K134,""),""),"")</f>
        <v/>
      </c>
      <c r="M134" s="370" t="str">
        <f>IFERROR(IF(Active3=TRUE,HLOOKUP(Mammal_Chronic[[#This Row],[Crop]],Input_Scenario,13,FALSE)*HLOOKUP(Mammal_Chronic[[#This Row],[Crop]],Input_Scenario,8,FALSE)*Mammal_Chronic[[#This Row],[SVm]],""),"")</f>
        <v/>
      </c>
      <c r="N134" s="370" t="str">
        <f ca="1">IF($B$3&lt;&gt;"Passive",IFERROR(IF(ISNUMBER(INDEX(Active[M_NOAEL], 3)),
                          INDEX(Active[M_NOAEL], 3)/M134,""),""),"")</f>
        <v/>
      </c>
      <c r="O134" s="370" t="str">
        <f>IFERROR(IF(Active4=TRUE,HLOOKUP(Mammal_Chronic[[#This Row],[Crop]],Input_Scenario,14,FALSE)*HLOOKUP(Mammal_Chronic[[#This Row],[Crop]],Input_Scenario,8,FALSE)*Mammal_Chronic[[#This Row],[SVm]],""),"")</f>
        <v/>
      </c>
      <c r="P134" s="370" t="str">
        <f ca="1">IF($B$3&lt;&gt;"Passive",IFERROR(IF(ISNUMBER(INDEX(Active[M_NOAEL], 4)),
                          INDEX(Active[M_NOAEL], 4)/O134,""),""),"")</f>
        <v/>
      </c>
      <c r="Q134" s="370" t="str">
        <f>IFERROR(IF(Active5=TRUE,HLOOKUP(Mammal_Chronic[[#This Row],[Crop]],Input_Scenario,15,FALSE)*HLOOKUP(Mammal_Chronic[[#This Row],[Crop]],Input_Scenario,8,FALSE)*Mammal_Chronic[[#This Row],[SVm]],""),"")</f>
        <v/>
      </c>
      <c r="R134" s="370" t="str">
        <f ca="1">IF($B$3&lt;&gt;"Passive",IFERROR(IF(ISNUMBER(INDEX(Active[M_NOAEL], 5)),
                          INDEX(Active[M_NOAEL], 5)/Q134,""),""),"")</f>
        <v/>
      </c>
    </row>
    <row r="135" spans="1:18">
      <c r="A135" s="56"/>
      <c r="B135" s="314" t="str">
        <f t="shared" ca="1" si="3"/>
        <v>No input</v>
      </c>
      <c r="C135" s="72" t="s">
        <v>179</v>
      </c>
      <c r="D135" s="73" t="s">
        <v>132</v>
      </c>
      <c r="E135" s="73" t="s">
        <v>271</v>
      </c>
      <c r="F135" s="113">
        <v>7.8</v>
      </c>
      <c r="G135" s="203" t="str">
        <f ca="1">IF(AND(Mammal_Chronic[[#This Row],[Relevance]]="Input provided", Count&gt;=1),
       IF(M_ChronicScheme="C(mix)",
                 HLOOKUP(Mammal_Chronic[[#This Row],[Crop]], Input_Scenario,10,FALSE)*Mammal_Chronic[[#This Row],[SVm]]*HLOOKUP(Mammal_Chronic[[#This Row],[Crop]],Input_Scenario,8,FALSE),""),"")</f>
        <v/>
      </c>
      <c r="H135" s="368" t="str">
        <f t="shared" si="4"/>
        <v/>
      </c>
      <c r="I135" s="370" t="str">
        <f>IFERROR(IF(Active1=TRUE,HLOOKUP(Mammal_Chronic[[#This Row],[Crop]],Input_Scenario,11,FALSE)*HLOOKUP(Mammal_Chronic[[#This Row],[Crop]],Input_Scenario,8,FALSE)*Mammal_Chronic[[#This Row],[SVm]],""),"")</f>
        <v/>
      </c>
      <c r="J135" s="370" t="str">
        <f t="shared" ca="1" si="5"/>
        <v/>
      </c>
      <c r="K135" s="370" t="str">
        <f>IFERROR(IF(Active2=TRUE,HLOOKUP(Mammal_Chronic[[#This Row],[Crop]],Input_Scenario,12,FALSE)*HLOOKUP(Mammal_Chronic[[#This Row],[Crop]],Input_Scenario,8,FALSE)*Mammal_Chronic[[#This Row],[SVm]],""),"")</f>
        <v/>
      </c>
      <c r="L135" s="370" t="str">
        <f ca="1">IF($B$3&lt;&gt;"Passive",IFERROR(IF(ISNUMBER(INDEX(Active[M_NOAEL], 2)),
                          INDEX(Active[M_NOAEL], 2)/K135,""),""),"")</f>
        <v/>
      </c>
      <c r="M135" s="370" t="str">
        <f>IFERROR(IF(Active3=TRUE,HLOOKUP(Mammal_Chronic[[#This Row],[Crop]],Input_Scenario,13,FALSE)*HLOOKUP(Mammal_Chronic[[#This Row],[Crop]],Input_Scenario,8,FALSE)*Mammal_Chronic[[#This Row],[SVm]],""),"")</f>
        <v/>
      </c>
      <c r="N135" s="370" t="str">
        <f ca="1">IF($B$3&lt;&gt;"Passive",IFERROR(IF(ISNUMBER(INDEX(Active[M_NOAEL], 3)),
                          INDEX(Active[M_NOAEL], 3)/M135,""),""),"")</f>
        <v/>
      </c>
      <c r="O135" s="370" t="str">
        <f>IFERROR(IF(Active4=TRUE,HLOOKUP(Mammal_Chronic[[#This Row],[Crop]],Input_Scenario,14,FALSE)*HLOOKUP(Mammal_Chronic[[#This Row],[Crop]],Input_Scenario,8,FALSE)*Mammal_Chronic[[#This Row],[SVm]],""),"")</f>
        <v/>
      </c>
      <c r="P135" s="370" t="str">
        <f ca="1">IF($B$3&lt;&gt;"Passive",IFERROR(IF(ISNUMBER(INDEX(Active[M_NOAEL], 4)),
                          INDEX(Active[M_NOAEL], 4)/O135,""),""),"")</f>
        <v/>
      </c>
      <c r="Q135" s="370" t="str">
        <f>IFERROR(IF(Active5=TRUE,HLOOKUP(Mammal_Chronic[[#This Row],[Crop]],Input_Scenario,15,FALSE)*HLOOKUP(Mammal_Chronic[[#This Row],[Crop]],Input_Scenario,8,FALSE)*Mammal_Chronic[[#This Row],[SVm]],""),"")</f>
        <v/>
      </c>
      <c r="R135" s="370" t="str">
        <f ca="1">IF($B$3&lt;&gt;"Passive",IFERROR(IF(ISNUMBER(INDEX(Active[M_NOAEL], 5)),
                          INDEX(Active[M_NOAEL], 5)/Q135,""),""),"")</f>
        <v/>
      </c>
    </row>
    <row r="136" spans="1:18">
      <c r="A136" s="56"/>
      <c r="B136" s="314" t="str">
        <f t="shared" ca="1" si="3"/>
        <v>No input</v>
      </c>
      <c r="C136" s="72" t="s">
        <v>179</v>
      </c>
      <c r="D136" s="73" t="s">
        <v>111</v>
      </c>
      <c r="E136" s="73" t="s">
        <v>272</v>
      </c>
      <c r="F136" s="113">
        <v>1.9</v>
      </c>
      <c r="G136" s="203" t="str">
        <f ca="1">IF(AND(Mammal_Chronic[[#This Row],[Relevance]]="Input provided", Count&gt;=1),
       IF(M_ChronicScheme="C(mix)",
                 HLOOKUP(Mammal_Chronic[[#This Row],[Crop]], Input_Scenario,10,FALSE)*Mammal_Chronic[[#This Row],[SVm]]*HLOOKUP(Mammal_Chronic[[#This Row],[Crop]],Input_Scenario,8,FALSE),""),"")</f>
        <v/>
      </c>
      <c r="H136" s="368" t="str">
        <f t="shared" si="4"/>
        <v/>
      </c>
      <c r="I136" s="370" t="str">
        <f>IFERROR(IF(Active1=TRUE,HLOOKUP(Mammal_Chronic[[#This Row],[Crop]],Input_Scenario,11,FALSE)*HLOOKUP(Mammal_Chronic[[#This Row],[Crop]],Input_Scenario,8,FALSE)*Mammal_Chronic[[#This Row],[SVm]],""),"")</f>
        <v/>
      </c>
      <c r="J136" s="370" t="str">
        <f t="shared" ca="1" si="5"/>
        <v/>
      </c>
      <c r="K136" s="370" t="str">
        <f>IFERROR(IF(Active2=TRUE,HLOOKUP(Mammal_Chronic[[#This Row],[Crop]],Input_Scenario,12,FALSE)*HLOOKUP(Mammal_Chronic[[#This Row],[Crop]],Input_Scenario,8,FALSE)*Mammal_Chronic[[#This Row],[SVm]],""),"")</f>
        <v/>
      </c>
      <c r="L136" s="370" t="str">
        <f ca="1">IF($B$3&lt;&gt;"Passive",IFERROR(IF(ISNUMBER(INDEX(Active[M_NOAEL], 2)),
                          INDEX(Active[M_NOAEL], 2)/K136,""),""),"")</f>
        <v/>
      </c>
      <c r="M136" s="370" t="str">
        <f>IFERROR(IF(Active3=TRUE,HLOOKUP(Mammal_Chronic[[#This Row],[Crop]],Input_Scenario,13,FALSE)*HLOOKUP(Mammal_Chronic[[#This Row],[Crop]],Input_Scenario,8,FALSE)*Mammal_Chronic[[#This Row],[SVm]],""),"")</f>
        <v/>
      </c>
      <c r="N136" s="370" t="str">
        <f ca="1">IF($B$3&lt;&gt;"Passive",IFERROR(IF(ISNUMBER(INDEX(Active[M_NOAEL], 3)),
                          INDEX(Active[M_NOAEL], 3)/M136,""),""),"")</f>
        <v/>
      </c>
      <c r="O136" s="370" t="str">
        <f>IFERROR(IF(Active4=TRUE,HLOOKUP(Mammal_Chronic[[#This Row],[Crop]],Input_Scenario,14,FALSE)*HLOOKUP(Mammal_Chronic[[#This Row],[Crop]],Input_Scenario,8,FALSE)*Mammal_Chronic[[#This Row],[SVm]],""),"")</f>
        <v/>
      </c>
      <c r="P136" s="370" t="str">
        <f ca="1">IF($B$3&lt;&gt;"Passive",IFERROR(IF(ISNUMBER(INDEX(Active[M_NOAEL], 4)),
                          INDEX(Active[M_NOAEL], 4)/O136,""),""),"")</f>
        <v/>
      </c>
      <c r="Q136" s="370" t="str">
        <f>IFERROR(IF(Active5=TRUE,HLOOKUP(Mammal_Chronic[[#This Row],[Crop]],Input_Scenario,15,FALSE)*HLOOKUP(Mammal_Chronic[[#This Row],[Crop]],Input_Scenario,8,FALSE)*Mammal_Chronic[[#This Row],[SVm]],""),"")</f>
        <v/>
      </c>
      <c r="R136" s="370" t="str">
        <f ca="1">IF($B$3&lt;&gt;"Passive",IFERROR(IF(ISNUMBER(INDEX(Active[M_NOAEL], 5)),
                          INDEX(Active[M_NOAEL], 5)/Q136,""),""),"")</f>
        <v/>
      </c>
    </row>
    <row r="137" spans="1:18">
      <c r="A137" s="56"/>
      <c r="B137" s="314" t="str">
        <f t="shared" ca="1" si="3"/>
        <v>No input</v>
      </c>
      <c r="C137" s="72" t="s">
        <v>179</v>
      </c>
      <c r="D137" s="73" t="s">
        <v>257</v>
      </c>
      <c r="E137" s="73" t="s">
        <v>279</v>
      </c>
      <c r="F137" s="113">
        <v>72.3</v>
      </c>
      <c r="G137" s="203" t="str">
        <f ca="1">IF(AND(Mammal_Chronic[[#This Row],[Relevance]]="Input provided", Count&gt;=1),
       IF(M_ChronicScheme="C(mix)",
                 HLOOKUP(Mammal_Chronic[[#This Row],[Crop]], Input_Scenario,10,FALSE)*Mammal_Chronic[[#This Row],[SVm]]*HLOOKUP(Mammal_Chronic[[#This Row],[Crop]],Input_Scenario,8,FALSE),""),"")</f>
        <v/>
      </c>
      <c r="H137" s="368" t="str">
        <f t="shared" si="4"/>
        <v/>
      </c>
      <c r="I137" s="370" t="str">
        <f>IFERROR(IF(Active1=TRUE,HLOOKUP(Mammal_Chronic[[#This Row],[Crop]],Input_Scenario,11,FALSE)*HLOOKUP(Mammal_Chronic[[#This Row],[Crop]],Input_Scenario,8,FALSE)*Mammal_Chronic[[#This Row],[SVm]],""),"")</f>
        <v/>
      </c>
      <c r="J137" s="370" t="str">
        <f t="shared" ca="1" si="5"/>
        <v/>
      </c>
      <c r="K137" s="370" t="str">
        <f>IFERROR(IF(Active2=TRUE,HLOOKUP(Mammal_Chronic[[#This Row],[Crop]],Input_Scenario,12,FALSE)*HLOOKUP(Mammal_Chronic[[#This Row],[Crop]],Input_Scenario,8,FALSE)*Mammal_Chronic[[#This Row],[SVm]],""),"")</f>
        <v/>
      </c>
      <c r="L137" s="370" t="str">
        <f ca="1">IF($B$3&lt;&gt;"Passive",IFERROR(IF(ISNUMBER(INDEX(Active[M_NOAEL], 2)),
                          INDEX(Active[M_NOAEL], 2)/K137,""),""),"")</f>
        <v/>
      </c>
      <c r="M137" s="370" t="str">
        <f>IFERROR(IF(Active3=TRUE,HLOOKUP(Mammal_Chronic[[#This Row],[Crop]],Input_Scenario,13,FALSE)*HLOOKUP(Mammal_Chronic[[#This Row],[Crop]],Input_Scenario,8,FALSE)*Mammal_Chronic[[#This Row],[SVm]],""),"")</f>
        <v/>
      </c>
      <c r="N137" s="370" t="str">
        <f ca="1">IF($B$3&lt;&gt;"Passive",IFERROR(IF(ISNUMBER(INDEX(Active[M_NOAEL], 3)),
                          INDEX(Active[M_NOAEL], 3)/M137,""),""),"")</f>
        <v/>
      </c>
      <c r="O137" s="370" t="str">
        <f>IFERROR(IF(Active4=TRUE,HLOOKUP(Mammal_Chronic[[#This Row],[Crop]],Input_Scenario,14,FALSE)*HLOOKUP(Mammal_Chronic[[#This Row],[Crop]],Input_Scenario,8,FALSE)*Mammal_Chronic[[#This Row],[SVm]],""),"")</f>
        <v/>
      </c>
      <c r="P137" s="370" t="str">
        <f ca="1">IF($B$3&lt;&gt;"Passive",IFERROR(IF(ISNUMBER(INDEX(Active[M_NOAEL], 4)),
                          INDEX(Active[M_NOAEL], 4)/O137,""),""),"")</f>
        <v/>
      </c>
      <c r="Q137" s="370" t="str">
        <f>IFERROR(IF(Active5=TRUE,HLOOKUP(Mammal_Chronic[[#This Row],[Crop]],Input_Scenario,15,FALSE)*HLOOKUP(Mammal_Chronic[[#This Row],[Crop]],Input_Scenario,8,FALSE)*Mammal_Chronic[[#This Row],[SVm]],""),"")</f>
        <v/>
      </c>
      <c r="R137" s="370" t="str">
        <f ca="1">IF($B$3&lt;&gt;"Passive",IFERROR(IF(ISNUMBER(INDEX(Active[M_NOAEL], 5)),
                          INDEX(Active[M_NOAEL], 5)/Q137,""),""),"")</f>
        <v/>
      </c>
    </row>
    <row r="138" spans="1:18">
      <c r="A138" s="56"/>
      <c r="B138" s="314" t="str">
        <f t="shared" ca="1" si="3"/>
        <v>No input</v>
      </c>
      <c r="C138" s="72" t="s">
        <v>179</v>
      </c>
      <c r="D138" s="73" t="s">
        <v>134</v>
      </c>
      <c r="E138" s="73" t="s">
        <v>273</v>
      </c>
      <c r="F138" s="113">
        <v>21.7</v>
      </c>
      <c r="G138" s="203" t="str">
        <f ca="1">IF(AND(Mammal_Chronic[[#This Row],[Relevance]]="Input provided", Count&gt;=1),
       IF(M_ChronicScheme="C(mix)",
                 HLOOKUP(Mammal_Chronic[[#This Row],[Crop]], Input_Scenario,10,FALSE)*Mammal_Chronic[[#This Row],[SVm]]*HLOOKUP(Mammal_Chronic[[#This Row],[Crop]],Input_Scenario,8,FALSE),""),"")</f>
        <v/>
      </c>
      <c r="H138" s="368" t="str">
        <f t="shared" si="4"/>
        <v/>
      </c>
      <c r="I138" s="370" t="str">
        <f>IFERROR(IF(Active1=TRUE,HLOOKUP(Mammal_Chronic[[#This Row],[Crop]],Input_Scenario,11,FALSE)*HLOOKUP(Mammal_Chronic[[#This Row],[Crop]],Input_Scenario,8,FALSE)*Mammal_Chronic[[#This Row],[SVm]],""),"")</f>
        <v/>
      </c>
      <c r="J138" s="370" t="str">
        <f t="shared" ca="1" si="5"/>
        <v/>
      </c>
      <c r="K138" s="370" t="str">
        <f>IFERROR(IF(Active2=TRUE,HLOOKUP(Mammal_Chronic[[#This Row],[Crop]],Input_Scenario,12,FALSE)*HLOOKUP(Mammal_Chronic[[#This Row],[Crop]],Input_Scenario,8,FALSE)*Mammal_Chronic[[#This Row],[SVm]],""),"")</f>
        <v/>
      </c>
      <c r="L138" s="370" t="str">
        <f ca="1">IF($B$3&lt;&gt;"Passive",IFERROR(IF(ISNUMBER(INDEX(Active[M_NOAEL], 2)),
                          INDEX(Active[M_NOAEL], 2)/K138,""),""),"")</f>
        <v/>
      </c>
      <c r="M138" s="370" t="str">
        <f>IFERROR(IF(Active3=TRUE,HLOOKUP(Mammal_Chronic[[#This Row],[Crop]],Input_Scenario,13,FALSE)*HLOOKUP(Mammal_Chronic[[#This Row],[Crop]],Input_Scenario,8,FALSE)*Mammal_Chronic[[#This Row],[SVm]],""),"")</f>
        <v/>
      </c>
      <c r="N138" s="370" t="str">
        <f ca="1">IF($B$3&lt;&gt;"Passive",IFERROR(IF(ISNUMBER(INDEX(Active[M_NOAEL], 3)),
                          INDEX(Active[M_NOAEL], 3)/M138,""),""),"")</f>
        <v/>
      </c>
      <c r="O138" s="370" t="str">
        <f>IFERROR(IF(Active4=TRUE,HLOOKUP(Mammal_Chronic[[#This Row],[Crop]],Input_Scenario,14,FALSE)*HLOOKUP(Mammal_Chronic[[#This Row],[Crop]],Input_Scenario,8,FALSE)*Mammal_Chronic[[#This Row],[SVm]],""),"")</f>
        <v/>
      </c>
      <c r="P138" s="370" t="str">
        <f ca="1">IF($B$3&lt;&gt;"Passive",IFERROR(IF(ISNUMBER(INDEX(Active[M_NOAEL], 4)),
                          INDEX(Active[M_NOAEL], 4)/O138,""),""),"")</f>
        <v/>
      </c>
      <c r="Q138" s="370" t="str">
        <f>IFERROR(IF(Active5=TRUE,HLOOKUP(Mammal_Chronic[[#This Row],[Crop]],Input_Scenario,15,FALSE)*HLOOKUP(Mammal_Chronic[[#This Row],[Crop]],Input_Scenario,8,FALSE)*Mammal_Chronic[[#This Row],[SVm]],""),"")</f>
        <v/>
      </c>
      <c r="R138" s="370" t="str">
        <f ca="1">IF($B$3&lt;&gt;"Passive",IFERROR(IF(ISNUMBER(INDEX(Active[M_NOAEL], 5)),
                          INDEX(Active[M_NOAEL], 5)/Q138,""),""),"")</f>
        <v/>
      </c>
    </row>
    <row r="139" spans="1:18">
      <c r="A139" s="56"/>
      <c r="B139" s="314" t="str">
        <f t="shared" ca="1" si="3"/>
        <v>No input</v>
      </c>
      <c r="C139" s="72" t="s">
        <v>179</v>
      </c>
      <c r="D139" s="73" t="s">
        <v>134</v>
      </c>
      <c r="E139" s="73" t="s">
        <v>275</v>
      </c>
      <c r="F139" s="113">
        <v>4.3</v>
      </c>
      <c r="G139" s="203" t="str">
        <f ca="1">IF(AND(Mammal_Chronic[[#This Row],[Relevance]]="Input provided", Count&gt;=1),
       IF(M_ChronicScheme="C(mix)",
                 HLOOKUP(Mammal_Chronic[[#This Row],[Crop]], Input_Scenario,10,FALSE)*Mammal_Chronic[[#This Row],[SVm]]*HLOOKUP(Mammal_Chronic[[#This Row],[Crop]],Input_Scenario,8,FALSE),""),"")</f>
        <v/>
      </c>
      <c r="H139" s="368" t="str">
        <f t="shared" si="4"/>
        <v/>
      </c>
      <c r="I139" s="370" t="str">
        <f>IFERROR(IF(Active1=TRUE,HLOOKUP(Mammal_Chronic[[#This Row],[Crop]],Input_Scenario,11,FALSE)*HLOOKUP(Mammal_Chronic[[#This Row],[Crop]],Input_Scenario,8,FALSE)*Mammal_Chronic[[#This Row],[SVm]],""),"")</f>
        <v/>
      </c>
      <c r="J139" s="370" t="str">
        <f t="shared" ca="1" si="5"/>
        <v/>
      </c>
      <c r="K139" s="370" t="str">
        <f>IFERROR(IF(Active2=TRUE,HLOOKUP(Mammal_Chronic[[#This Row],[Crop]],Input_Scenario,12,FALSE)*HLOOKUP(Mammal_Chronic[[#This Row],[Crop]],Input_Scenario,8,FALSE)*Mammal_Chronic[[#This Row],[SVm]],""),"")</f>
        <v/>
      </c>
      <c r="L139" s="370" t="str">
        <f ca="1">IF($B$3&lt;&gt;"Passive",IFERROR(IF(ISNUMBER(INDEX(Active[M_NOAEL], 2)),
                          INDEX(Active[M_NOAEL], 2)/K139,""),""),"")</f>
        <v/>
      </c>
      <c r="M139" s="370" t="str">
        <f>IFERROR(IF(Active3=TRUE,HLOOKUP(Mammal_Chronic[[#This Row],[Crop]],Input_Scenario,13,FALSE)*HLOOKUP(Mammal_Chronic[[#This Row],[Crop]],Input_Scenario,8,FALSE)*Mammal_Chronic[[#This Row],[SVm]],""),"")</f>
        <v/>
      </c>
      <c r="N139" s="370" t="str">
        <f ca="1">IF($B$3&lt;&gt;"Passive",IFERROR(IF(ISNUMBER(INDEX(Active[M_NOAEL], 3)),
                          INDEX(Active[M_NOAEL], 3)/M139,""),""),"")</f>
        <v/>
      </c>
      <c r="O139" s="370" t="str">
        <f>IFERROR(IF(Active4=TRUE,HLOOKUP(Mammal_Chronic[[#This Row],[Crop]],Input_Scenario,14,FALSE)*HLOOKUP(Mammal_Chronic[[#This Row],[Crop]],Input_Scenario,8,FALSE)*Mammal_Chronic[[#This Row],[SVm]],""),"")</f>
        <v/>
      </c>
      <c r="P139" s="370" t="str">
        <f ca="1">IF($B$3&lt;&gt;"Passive",IFERROR(IF(ISNUMBER(INDEX(Active[M_NOAEL], 4)),
                          INDEX(Active[M_NOAEL], 4)/O139,""),""),"")</f>
        <v/>
      </c>
      <c r="Q139" s="370" t="str">
        <f>IFERROR(IF(Active5=TRUE,HLOOKUP(Mammal_Chronic[[#This Row],[Crop]],Input_Scenario,15,FALSE)*HLOOKUP(Mammal_Chronic[[#This Row],[Crop]],Input_Scenario,8,FALSE)*Mammal_Chronic[[#This Row],[SVm]],""),"")</f>
        <v/>
      </c>
      <c r="R139" s="370" t="str">
        <f ca="1">IF($B$3&lt;&gt;"Passive",IFERROR(IF(ISNUMBER(INDEX(Active[M_NOAEL], 5)),
                          INDEX(Active[M_NOAEL], 5)/Q139,""),""),"")</f>
        <v/>
      </c>
    </row>
    <row r="140" spans="1:18">
      <c r="A140" s="56"/>
      <c r="B140" s="314" t="str">
        <f t="shared" ca="1" si="3"/>
        <v>No input</v>
      </c>
      <c r="C140" s="72" t="s">
        <v>179</v>
      </c>
      <c r="D140" s="73" t="s">
        <v>134</v>
      </c>
      <c r="E140" s="73" t="s">
        <v>271</v>
      </c>
      <c r="F140" s="113">
        <v>2.2999999999999998</v>
      </c>
      <c r="G140" s="203" t="str">
        <f ca="1">IF(AND(Mammal_Chronic[[#This Row],[Relevance]]="Input provided", Count&gt;=1),
       IF(M_ChronicScheme="C(mix)",
                 HLOOKUP(Mammal_Chronic[[#This Row],[Crop]], Input_Scenario,10,FALSE)*Mammal_Chronic[[#This Row],[SVm]]*HLOOKUP(Mammal_Chronic[[#This Row],[Crop]],Input_Scenario,8,FALSE),""),"")</f>
        <v/>
      </c>
      <c r="H140" s="368" t="str">
        <f t="shared" si="4"/>
        <v/>
      </c>
      <c r="I140" s="370" t="str">
        <f>IFERROR(IF(Active1=TRUE,HLOOKUP(Mammal_Chronic[[#This Row],[Crop]],Input_Scenario,11,FALSE)*HLOOKUP(Mammal_Chronic[[#This Row],[Crop]],Input_Scenario,8,FALSE)*Mammal_Chronic[[#This Row],[SVm]],""),"")</f>
        <v/>
      </c>
      <c r="J140" s="370" t="str">
        <f t="shared" ca="1" si="5"/>
        <v/>
      </c>
      <c r="K140" s="370" t="str">
        <f>IFERROR(IF(Active2=TRUE,HLOOKUP(Mammal_Chronic[[#This Row],[Crop]],Input_Scenario,12,FALSE)*HLOOKUP(Mammal_Chronic[[#This Row],[Crop]],Input_Scenario,8,FALSE)*Mammal_Chronic[[#This Row],[SVm]],""),"")</f>
        <v/>
      </c>
      <c r="L140" s="370" t="str">
        <f ca="1">IF($B$3&lt;&gt;"Passive",IFERROR(IF(ISNUMBER(INDEX(Active[M_NOAEL], 2)),
                          INDEX(Active[M_NOAEL], 2)/K140,""),""),"")</f>
        <v/>
      </c>
      <c r="M140" s="370" t="str">
        <f>IFERROR(IF(Active3=TRUE,HLOOKUP(Mammal_Chronic[[#This Row],[Crop]],Input_Scenario,13,FALSE)*HLOOKUP(Mammal_Chronic[[#This Row],[Crop]],Input_Scenario,8,FALSE)*Mammal_Chronic[[#This Row],[SVm]],""),"")</f>
        <v/>
      </c>
      <c r="N140" s="370" t="str">
        <f ca="1">IF($B$3&lt;&gt;"Passive",IFERROR(IF(ISNUMBER(INDEX(Active[M_NOAEL], 3)),
                          INDEX(Active[M_NOAEL], 3)/M140,""),""),"")</f>
        <v/>
      </c>
      <c r="O140" s="370" t="str">
        <f>IFERROR(IF(Active4=TRUE,HLOOKUP(Mammal_Chronic[[#This Row],[Crop]],Input_Scenario,14,FALSE)*HLOOKUP(Mammal_Chronic[[#This Row],[Crop]],Input_Scenario,8,FALSE)*Mammal_Chronic[[#This Row],[SVm]],""),"")</f>
        <v/>
      </c>
      <c r="P140" s="370" t="str">
        <f ca="1">IF($B$3&lt;&gt;"Passive",IFERROR(IF(ISNUMBER(INDEX(Active[M_NOAEL], 4)),
                          INDEX(Active[M_NOAEL], 4)/O140,""),""),"")</f>
        <v/>
      </c>
      <c r="Q140" s="370" t="str">
        <f>IFERROR(IF(Active5=TRUE,HLOOKUP(Mammal_Chronic[[#This Row],[Crop]],Input_Scenario,15,FALSE)*HLOOKUP(Mammal_Chronic[[#This Row],[Crop]],Input_Scenario,8,FALSE)*Mammal_Chronic[[#This Row],[SVm]],""),"")</f>
        <v/>
      </c>
      <c r="R140" s="370" t="str">
        <f ca="1">IF($B$3&lt;&gt;"Passive",IFERROR(IF(ISNUMBER(INDEX(Active[M_NOAEL], 5)),
                          INDEX(Active[M_NOAEL], 5)/Q140,""),""),"")</f>
        <v/>
      </c>
    </row>
    <row r="141" spans="1:18">
      <c r="A141" s="56"/>
      <c r="B141" s="314" t="str">
        <f t="shared" ca="1" si="3"/>
        <v>No input</v>
      </c>
      <c r="C141" s="72" t="s">
        <v>179</v>
      </c>
      <c r="D141" s="73" t="s">
        <v>266</v>
      </c>
      <c r="E141" s="73" t="s">
        <v>271</v>
      </c>
      <c r="F141" s="113">
        <v>6.6</v>
      </c>
      <c r="G141" s="203" t="str">
        <f ca="1">IF(AND(Mammal_Chronic[[#This Row],[Relevance]]="Input provided", Count&gt;=1),
       IF(M_ChronicScheme="C(mix)",
                 HLOOKUP(Mammal_Chronic[[#This Row],[Crop]], Input_Scenario,10,FALSE)*Mammal_Chronic[[#This Row],[SVm]]*HLOOKUP(Mammal_Chronic[[#This Row],[Crop]],Input_Scenario,8,FALSE),""),"")</f>
        <v/>
      </c>
      <c r="H141" s="368" t="str">
        <f t="shared" si="4"/>
        <v/>
      </c>
      <c r="I141" s="370" t="str">
        <f>IFERROR(IF(Active1=TRUE,HLOOKUP(Mammal_Chronic[[#This Row],[Crop]],Input_Scenario,11,FALSE)*HLOOKUP(Mammal_Chronic[[#This Row],[Crop]],Input_Scenario,8,FALSE)*Mammal_Chronic[[#This Row],[SVm]],""),"")</f>
        <v/>
      </c>
      <c r="J141" s="370" t="str">
        <f t="shared" ca="1" si="5"/>
        <v/>
      </c>
      <c r="K141" s="370" t="str">
        <f>IFERROR(IF(Active2=TRUE,HLOOKUP(Mammal_Chronic[[#This Row],[Crop]],Input_Scenario,12,FALSE)*HLOOKUP(Mammal_Chronic[[#This Row],[Crop]],Input_Scenario,8,FALSE)*Mammal_Chronic[[#This Row],[SVm]],""),"")</f>
        <v/>
      </c>
      <c r="L141" s="370" t="str">
        <f ca="1">IF($B$3&lt;&gt;"Passive",IFERROR(IF(ISNUMBER(INDEX(Active[M_NOAEL], 2)),
                          INDEX(Active[M_NOAEL], 2)/K141,""),""),"")</f>
        <v/>
      </c>
      <c r="M141" s="370" t="str">
        <f>IFERROR(IF(Active3=TRUE,HLOOKUP(Mammal_Chronic[[#This Row],[Crop]],Input_Scenario,13,FALSE)*HLOOKUP(Mammal_Chronic[[#This Row],[Crop]],Input_Scenario,8,FALSE)*Mammal_Chronic[[#This Row],[SVm]],""),"")</f>
        <v/>
      </c>
      <c r="N141" s="370" t="str">
        <f ca="1">IF($B$3&lt;&gt;"Passive",IFERROR(IF(ISNUMBER(INDEX(Active[M_NOAEL], 3)),
                          INDEX(Active[M_NOAEL], 3)/M141,""),""),"")</f>
        <v/>
      </c>
      <c r="O141" s="370" t="str">
        <f>IFERROR(IF(Active4=TRUE,HLOOKUP(Mammal_Chronic[[#This Row],[Crop]],Input_Scenario,14,FALSE)*HLOOKUP(Mammal_Chronic[[#This Row],[Crop]],Input_Scenario,8,FALSE)*Mammal_Chronic[[#This Row],[SVm]],""),"")</f>
        <v/>
      </c>
      <c r="P141" s="370" t="str">
        <f ca="1">IF($B$3&lt;&gt;"Passive",IFERROR(IF(ISNUMBER(INDEX(Active[M_NOAEL], 4)),
                          INDEX(Active[M_NOAEL], 4)/O141,""),""),"")</f>
        <v/>
      </c>
      <c r="Q141" s="370" t="str">
        <f>IFERROR(IF(Active5=TRUE,HLOOKUP(Mammal_Chronic[[#This Row],[Crop]],Input_Scenario,15,FALSE)*HLOOKUP(Mammal_Chronic[[#This Row],[Crop]],Input_Scenario,8,FALSE)*Mammal_Chronic[[#This Row],[SVm]],""),"")</f>
        <v/>
      </c>
      <c r="R141" s="370" t="str">
        <f ca="1">IF($B$3&lt;&gt;"Passive",IFERROR(IF(ISNUMBER(INDEX(Active[M_NOAEL], 5)),
                          INDEX(Active[M_NOAEL], 5)/Q141,""),""),"")</f>
        <v/>
      </c>
    </row>
    <row r="142" spans="1:18">
      <c r="A142" s="56"/>
      <c r="B142" s="314" t="str">
        <f t="shared" ca="1" si="3"/>
        <v>No input</v>
      </c>
      <c r="C142" s="72" t="s">
        <v>180</v>
      </c>
      <c r="D142" s="73" t="s">
        <v>108</v>
      </c>
      <c r="E142" s="73" t="s">
        <v>272</v>
      </c>
      <c r="F142" s="113">
        <v>4.2</v>
      </c>
      <c r="G142" s="203" t="str">
        <f ca="1">IF(AND(Mammal_Chronic[[#This Row],[Relevance]]="Input provided", Count&gt;=1),
       IF(M_ChronicScheme="C(mix)",
                 HLOOKUP(Mammal_Chronic[[#This Row],[Crop]], Input_Scenario,10,FALSE)*Mammal_Chronic[[#This Row],[SVm]]*HLOOKUP(Mammal_Chronic[[#This Row],[Crop]],Input_Scenario,8,FALSE),""),"")</f>
        <v/>
      </c>
      <c r="H142" s="368" t="str">
        <f t="shared" si="4"/>
        <v/>
      </c>
      <c r="I142" s="370" t="str">
        <f>IFERROR(IF(Active1=TRUE,HLOOKUP(Mammal_Chronic[[#This Row],[Crop]],Input_Scenario,11,FALSE)*HLOOKUP(Mammal_Chronic[[#This Row],[Crop]],Input_Scenario,8,FALSE)*Mammal_Chronic[[#This Row],[SVm]],""),"")</f>
        <v/>
      </c>
      <c r="J142" s="370" t="str">
        <f t="shared" ca="1" si="5"/>
        <v/>
      </c>
      <c r="K142" s="370" t="str">
        <f>IFERROR(IF(Active2=TRUE,HLOOKUP(Mammal_Chronic[[#This Row],[Crop]],Input_Scenario,12,FALSE)*HLOOKUP(Mammal_Chronic[[#This Row],[Crop]],Input_Scenario,8,FALSE)*Mammal_Chronic[[#This Row],[SVm]],""),"")</f>
        <v/>
      </c>
      <c r="L142" s="370" t="str">
        <f ca="1">IF($B$3&lt;&gt;"Passive",IFERROR(IF(ISNUMBER(INDEX(Active[M_NOAEL], 2)),
                          INDEX(Active[M_NOAEL], 2)/K142,""),""),"")</f>
        <v/>
      </c>
      <c r="M142" s="370" t="str">
        <f>IFERROR(IF(Active3=TRUE,HLOOKUP(Mammal_Chronic[[#This Row],[Crop]],Input_Scenario,13,FALSE)*HLOOKUP(Mammal_Chronic[[#This Row],[Crop]],Input_Scenario,8,FALSE)*Mammal_Chronic[[#This Row],[SVm]],""),"")</f>
        <v/>
      </c>
      <c r="N142" s="370" t="str">
        <f ca="1">IF($B$3&lt;&gt;"Passive",IFERROR(IF(ISNUMBER(INDEX(Active[M_NOAEL], 3)),
                          INDEX(Active[M_NOAEL], 3)/M142,""),""),"")</f>
        <v/>
      </c>
      <c r="O142" s="370" t="str">
        <f>IFERROR(IF(Active4=TRUE,HLOOKUP(Mammal_Chronic[[#This Row],[Crop]],Input_Scenario,14,FALSE)*HLOOKUP(Mammal_Chronic[[#This Row],[Crop]],Input_Scenario,8,FALSE)*Mammal_Chronic[[#This Row],[SVm]],""),"")</f>
        <v/>
      </c>
      <c r="P142" s="370" t="str">
        <f ca="1">IF($B$3&lt;&gt;"Passive",IFERROR(IF(ISNUMBER(INDEX(Active[M_NOAEL], 4)),
                          INDEX(Active[M_NOAEL], 4)/O142,""),""),"")</f>
        <v/>
      </c>
      <c r="Q142" s="370" t="str">
        <f>IFERROR(IF(Active5=TRUE,HLOOKUP(Mammal_Chronic[[#This Row],[Crop]],Input_Scenario,15,FALSE)*HLOOKUP(Mammal_Chronic[[#This Row],[Crop]],Input_Scenario,8,FALSE)*Mammal_Chronic[[#This Row],[SVm]],""),"")</f>
        <v/>
      </c>
      <c r="R142" s="370" t="str">
        <f ca="1">IF($B$3&lt;&gt;"Passive",IFERROR(IF(ISNUMBER(INDEX(Active[M_NOAEL], 5)),
                          INDEX(Active[M_NOAEL], 5)/Q142,""),""),"")</f>
        <v/>
      </c>
    </row>
    <row r="143" spans="1:18">
      <c r="A143" s="56"/>
      <c r="B143" s="314" t="str">
        <f t="shared" ca="1" si="3"/>
        <v>No input</v>
      </c>
      <c r="C143" s="72" t="s">
        <v>180</v>
      </c>
      <c r="D143" s="73" t="s">
        <v>110</v>
      </c>
      <c r="E143" s="73" t="s">
        <v>271</v>
      </c>
      <c r="F143" s="113">
        <v>7.8</v>
      </c>
      <c r="G143" s="203" t="str">
        <f ca="1">IF(AND(Mammal_Chronic[[#This Row],[Relevance]]="Input provided", Count&gt;=1),
       IF(M_ChronicScheme="C(mix)",
                 HLOOKUP(Mammal_Chronic[[#This Row],[Crop]], Input_Scenario,10,FALSE)*Mammal_Chronic[[#This Row],[SVm]]*HLOOKUP(Mammal_Chronic[[#This Row],[Crop]],Input_Scenario,8,FALSE),""),"")</f>
        <v/>
      </c>
      <c r="H143" s="368" t="str">
        <f t="shared" si="4"/>
        <v/>
      </c>
      <c r="I143" s="370" t="str">
        <f>IFERROR(IF(Active1=TRUE,HLOOKUP(Mammal_Chronic[[#This Row],[Crop]],Input_Scenario,11,FALSE)*HLOOKUP(Mammal_Chronic[[#This Row],[Crop]],Input_Scenario,8,FALSE)*Mammal_Chronic[[#This Row],[SVm]],""),"")</f>
        <v/>
      </c>
      <c r="J143" s="370" t="str">
        <f t="shared" ca="1" si="5"/>
        <v/>
      </c>
      <c r="K143" s="370" t="str">
        <f>IFERROR(IF(Active2=TRUE,HLOOKUP(Mammal_Chronic[[#This Row],[Crop]],Input_Scenario,12,FALSE)*HLOOKUP(Mammal_Chronic[[#This Row],[Crop]],Input_Scenario,8,FALSE)*Mammal_Chronic[[#This Row],[SVm]],""),"")</f>
        <v/>
      </c>
      <c r="L143" s="370" t="str">
        <f ca="1">IF($B$3&lt;&gt;"Passive",IFERROR(IF(ISNUMBER(INDEX(Active[M_NOAEL], 2)),
                          INDEX(Active[M_NOAEL], 2)/K143,""),""),"")</f>
        <v/>
      </c>
      <c r="M143" s="370" t="str">
        <f>IFERROR(IF(Active3=TRUE,HLOOKUP(Mammal_Chronic[[#This Row],[Crop]],Input_Scenario,13,FALSE)*HLOOKUP(Mammal_Chronic[[#This Row],[Crop]],Input_Scenario,8,FALSE)*Mammal_Chronic[[#This Row],[SVm]],""),"")</f>
        <v/>
      </c>
      <c r="N143" s="370" t="str">
        <f ca="1">IF($B$3&lt;&gt;"Passive",IFERROR(IF(ISNUMBER(INDEX(Active[M_NOAEL], 3)),
                          INDEX(Active[M_NOAEL], 3)/M143,""),""),"")</f>
        <v/>
      </c>
      <c r="O143" s="370" t="str">
        <f>IFERROR(IF(Active4=TRUE,HLOOKUP(Mammal_Chronic[[#This Row],[Crop]],Input_Scenario,14,FALSE)*HLOOKUP(Mammal_Chronic[[#This Row],[Crop]],Input_Scenario,8,FALSE)*Mammal_Chronic[[#This Row],[SVm]],""),"")</f>
        <v/>
      </c>
      <c r="P143" s="370" t="str">
        <f ca="1">IF($B$3&lt;&gt;"Passive",IFERROR(IF(ISNUMBER(INDEX(Active[M_NOAEL], 4)),
                          INDEX(Active[M_NOAEL], 4)/O143,""),""),"")</f>
        <v/>
      </c>
      <c r="Q143" s="370" t="str">
        <f>IFERROR(IF(Active5=TRUE,HLOOKUP(Mammal_Chronic[[#This Row],[Crop]],Input_Scenario,15,FALSE)*HLOOKUP(Mammal_Chronic[[#This Row],[Crop]],Input_Scenario,8,FALSE)*Mammal_Chronic[[#This Row],[SVm]],""),"")</f>
        <v/>
      </c>
      <c r="R143" s="370" t="str">
        <f ca="1">IF($B$3&lt;&gt;"Passive",IFERROR(IF(ISNUMBER(INDEX(Active[M_NOAEL], 5)),
                          INDEX(Active[M_NOAEL], 5)/Q143,""),""),"")</f>
        <v/>
      </c>
    </row>
    <row r="144" spans="1:18">
      <c r="A144" s="56"/>
      <c r="B144" s="314" t="str">
        <f t="shared" ca="1" si="3"/>
        <v>No input</v>
      </c>
      <c r="C144" s="72" t="s">
        <v>180</v>
      </c>
      <c r="D144" s="73" t="s">
        <v>111</v>
      </c>
      <c r="E144" s="73" t="s">
        <v>272</v>
      </c>
      <c r="F144" s="113">
        <v>1.9</v>
      </c>
      <c r="G144" s="203" t="str">
        <f ca="1">IF(AND(Mammal_Chronic[[#This Row],[Relevance]]="Input provided", Count&gt;=1),
       IF(M_ChronicScheme="C(mix)",
                 HLOOKUP(Mammal_Chronic[[#This Row],[Crop]], Input_Scenario,10,FALSE)*Mammal_Chronic[[#This Row],[SVm]]*HLOOKUP(Mammal_Chronic[[#This Row],[Crop]],Input_Scenario,8,FALSE),""),"")</f>
        <v/>
      </c>
      <c r="H144" s="368" t="str">
        <f t="shared" si="4"/>
        <v/>
      </c>
      <c r="I144" s="370" t="str">
        <f>IFERROR(IF(Active1=TRUE,HLOOKUP(Mammal_Chronic[[#This Row],[Crop]],Input_Scenario,11,FALSE)*HLOOKUP(Mammal_Chronic[[#This Row],[Crop]],Input_Scenario,8,FALSE)*Mammal_Chronic[[#This Row],[SVm]],""),"")</f>
        <v/>
      </c>
      <c r="J144" s="370" t="str">
        <f t="shared" ca="1" si="5"/>
        <v/>
      </c>
      <c r="K144" s="370" t="str">
        <f>IFERROR(IF(Active2=TRUE,HLOOKUP(Mammal_Chronic[[#This Row],[Crop]],Input_Scenario,12,FALSE)*HLOOKUP(Mammal_Chronic[[#This Row],[Crop]],Input_Scenario,8,FALSE)*Mammal_Chronic[[#This Row],[SVm]],""),"")</f>
        <v/>
      </c>
      <c r="L144" s="370" t="str">
        <f ca="1">IF($B$3&lt;&gt;"Passive",IFERROR(IF(ISNUMBER(INDEX(Active[M_NOAEL], 2)),
                          INDEX(Active[M_NOAEL], 2)/K144,""),""),"")</f>
        <v/>
      </c>
      <c r="M144" s="370" t="str">
        <f>IFERROR(IF(Active3=TRUE,HLOOKUP(Mammal_Chronic[[#This Row],[Crop]],Input_Scenario,13,FALSE)*HLOOKUP(Mammal_Chronic[[#This Row],[Crop]],Input_Scenario,8,FALSE)*Mammal_Chronic[[#This Row],[SVm]],""),"")</f>
        <v/>
      </c>
      <c r="N144" s="370" t="str">
        <f ca="1">IF($B$3&lt;&gt;"Passive",IFERROR(IF(ISNUMBER(INDEX(Active[M_NOAEL], 3)),
                          INDEX(Active[M_NOAEL], 3)/M144,""),""),"")</f>
        <v/>
      </c>
      <c r="O144" s="370" t="str">
        <f>IFERROR(IF(Active4=TRUE,HLOOKUP(Mammal_Chronic[[#This Row],[Crop]],Input_Scenario,14,FALSE)*HLOOKUP(Mammal_Chronic[[#This Row],[Crop]],Input_Scenario,8,FALSE)*Mammal_Chronic[[#This Row],[SVm]],""),"")</f>
        <v/>
      </c>
      <c r="P144" s="370" t="str">
        <f ca="1">IF($B$3&lt;&gt;"Passive",IFERROR(IF(ISNUMBER(INDEX(Active[M_NOAEL], 4)),
                          INDEX(Active[M_NOAEL], 4)/O144,""),""),"")</f>
        <v/>
      </c>
      <c r="Q144" s="370" t="str">
        <f>IFERROR(IF(Active5=TRUE,HLOOKUP(Mammal_Chronic[[#This Row],[Crop]],Input_Scenario,15,FALSE)*HLOOKUP(Mammal_Chronic[[#This Row],[Crop]],Input_Scenario,8,FALSE)*Mammal_Chronic[[#This Row],[SVm]],""),"")</f>
        <v/>
      </c>
      <c r="R144" s="370" t="str">
        <f ca="1">IF($B$3&lt;&gt;"Passive",IFERROR(IF(ISNUMBER(INDEX(Active[M_NOAEL], 5)),
                          INDEX(Active[M_NOAEL], 5)/Q144,""),""),"")</f>
        <v/>
      </c>
    </row>
    <row r="145" spans="1:18">
      <c r="A145" s="56"/>
      <c r="B145" s="314" t="str">
        <f t="shared" ca="1" si="3"/>
        <v>No input</v>
      </c>
      <c r="C145" s="72" t="s">
        <v>180</v>
      </c>
      <c r="D145" s="73" t="s">
        <v>109</v>
      </c>
      <c r="E145" s="73" t="s">
        <v>273</v>
      </c>
      <c r="F145" s="113">
        <v>21.7</v>
      </c>
      <c r="G145" s="203" t="str">
        <f ca="1">IF(AND(Mammal_Chronic[[#This Row],[Relevance]]="Input provided", Count&gt;=1),
       IF(M_ChronicScheme="C(mix)",
                 HLOOKUP(Mammal_Chronic[[#This Row],[Crop]], Input_Scenario,10,FALSE)*Mammal_Chronic[[#This Row],[SVm]]*HLOOKUP(Mammal_Chronic[[#This Row],[Crop]],Input_Scenario,8,FALSE),""),"")</f>
        <v/>
      </c>
      <c r="H145" s="368" t="str">
        <f t="shared" si="4"/>
        <v/>
      </c>
      <c r="I145" s="370" t="str">
        <f>IFERROR(IF(Active1=TRUE,HLOOKUP(Mammal_Chronic[[#This Row],[Crop]],Input_Scenario,11,FALSE)*HLOOKUP(Mammal_Chronic[[#This Row],[Crop]],Input_Scenario,8,FALSE)*Mammal_Chronic[[#This Row],[SVm]],""),"")</f>
        <v/>
      </c>
      <c r="J145" s="370" t="str">
        <f t="shared" ca="1" si="5"/>
        <v/>
      </c>
      <c r="K145" s="370" t="str">
        <f>IFERROR(IF(Active2=TRUE,HLOOKUP(Mammal_Chronic[[#This Row],[Crop]],Input_Scenario,12,FALSE)*HLOOKUP(Mammal_Chronic[[#This Row],[Crop]],Input_Scenario,8,FALSE)*Mammal_Chronic[[#This Row],[SVm]],""),"")</f>
        <v/>
      </c>
      <c r="L145" s="370" t="str">
        <f ca="1">IF($B$3&lt;&gt;"Passive",IFERROR(IF(ISNUMBER(INDEX(Active[M_NOAEL], 2)),
                          INDEX(Active[M_NOAEL], 2)/K145,""),""),"")</f>
        <v/>
      </c>
      <c r="M145" s="370" t="str">
        <f>IFERROR(IF(Active3=TRUE,HLOOKUP(Mammal_Chronic[[#This Row],[Crop]],Input_Scenario,13,FALSE)*HLOOKUP(Mammal_Chronic[[#This Row],[Crop]],Input_Scenario,8,FALSE)*Mammal_Chronic[[#This Row],[SVm]],""),"")</f>
        <v/>
      </c>
      <c r="N145" s="370" t="str">
        <f ca="1">IF($B$3&lt;&gt;"Passive",IFERROR(IF(ISNUMBER(INDEX(Active[M_NOAEL], 3)),
                          INDEX(Active[M_NOAEL], 3)/M145,""),""),"")</f>
        <v/>
      </c>
      <c r="O145" s="370" t="str">
        <f>IFERROR(IF(Active4=TRUE,HLOOKUP(Mammal_Chronic[[#This Row],[Crop]],Input_Scenario,14,FALSE)*HLOOKUP(Mammal_Chronic[[#This Row],[Crop]],Input_Scenario,8,FALSE)*Mammal_Chronic[[#This Row],[SVm]],""),"")</f>
        <v/>
      </c>
      <c r="P145" s="370" t="str">
        <f ca="1">IF($B$3&lt;&gt;"Passive",IFERROR(IF(ISNUMBER(INDEX(Active[M_NOAEL], 4)),
                          INDEX(Active[M_NOAEL], 4)/O145,""),""),"")</f>
        <v/>
      </c>
      <c r="Q145" s="370" t="str">
        <f>IFERROR(IF(Active5=TRUE,HLOOKUP(Mammal_Chronic[[#This Row],[Crop]],Input_Scenario,15,FALSE)*HLOOKUP(Mammal_Chronic[[#This Row],[Crop]],Input_Scenario,8,FALSE)*Mammal_Chronic[[#This Row],[SVm]],""),"")</f>
        <v/>
      </c>
      <c r="R145" s="370" t="str">
        <f ca="1">IF($B$3&lt;&gt;"Passive",IFERROR(IF(ISNUMBER(INDEX(Active[M_NOAEL], 5)),
                          INDEX(Active[M_NOAEL], 5)/Q145,""),""),"")</f>
        <v/>
      </c>
    </row>
    <row r="146" spans="1:18">
      <c r="A146" s="56"/>
      <c r="B146" s="314" t="str">
        <f t="shared" ca="1" si="3"/>
        <v>No input</v>
      </c>
      <c r="C146" s="72" t="s">
        <v>180</v>
      </c>
      <c r="D146" s="73" t="s">
        <v>109</v>
      </c>
      <c r="E146" s="73" t="s">
        <v>271</v>
      </c>
      <c r="F146" s="113">
        <v>2.2999999999999998</v>
      </c>
      <c r="G146" s="203" t="str">
        <f ca="1">IF(AND(Mammal_Chronic[[#This Row],[Relevance]]="Input provided", Count&gt;=1),
       IF(M_ChronicScheme="C(mix)",
                 HLOOKUP(Mammal_Chronic[[#This Row],[Crop]], Input_Scenario,10,FALSE)*Mammal_Chronic[[#This Row],[SVm]]*HLOOKUP(Mammal_Chronic[[#This Row],[Crop]],Input_Scenario,8,FALSE),""),"")</f>
        <v/>
      </c>
      <c r="H146" s="368" t="str">
        <f t="shared" si="4"/>
        <v/>
      </c>
      <c r="I146" s="370" t="str">
        <f>IFERROR(IF(Active1=TRUE,HLOOKUP(Mammal_Chronic[[#This Row],[Crop]],Input_Scenario,11,FALSE)*HLOOKUP(Mammal_Chronic[[#This Row],[Crop]],Input_Scenario,8,FALSE)*Mammal_Chronic[[#This Row],[SVm]],""),"")</f>
        <v/>
      </c>
      <c r="J146" s="370" t="str">
        <f t="shared" ca="1" si="5"/>
        <v/>
      </c>
      <c r="K146" s="370" t="str">
        <f>IFERROR(IF(Active2=TRUE,HLOOKUP(Mammal_Chronic[[#This Row],[Crop]],Input_Scenario,12,FALSE)*HLOOKUP(Mammal_Chronic[[#This Row],[Crop]],Input_Scenario,8,FALSE)*Mammal_Chronic[[#This Row],[SVm]],""),"")</f>
        <v/>
      </c>
      <c r="L146" s="370" t="str">
        <f ca="1">IF($B$3&lt;&gt;"Passive",IFERROR(IF(ISNUMBER(INDEX(Active[M_NOAEL], 2)),
                          INDEX(Active[M_NOAEL], 2)/K146,""),""),"")</f>
        <v/>
      </c>
      <c r="M146" s="370" t="str">
        <f>IFERROR(IF(Active3=TRUE,HLOOKUP(Mammal_Chronic[[#This Row],[Crop]],Input_Scenario,13,FALSE)*HLOOKUP(Mammal_Chronic[[#This Row],[Crop]],Input_Scenario,8,FALSE)*Mammal_Chronic[[#This Row],[SVm]],""),"")</f>
        <v/>
      </c>
      <c r="N146" s="370" t="str">
        <f ca="1">IF($B$3&lt;&gt;"Passive",IFERROR(IF(ISNUMBER(INDEX(Active[M_NOAEL], 3)),
                          INDEX(Active[M_NOAEL], 3)/M146,""),""),"")</f>
        <v/>
      </c>
      <c r="O146" s="370" t="str">
        <f>IFERROR(IF(Active4=TRUE,HLOOKUP(Mammal_Chronic[[#This Row],[Crop]],Input_Scenario,14,FALSE)*HLOOKUP(Mammal_Chronic[[#This Row],[Crop]],Input_Scenario,8,FALSE)*Mammal_Chronic[[#This Row],[SVm]],""),"")</f>
        <v/>
      </c>
      <c r="P146" s="370" t="str">
        <f ca="1">IF($B$3&lt;&gt;"Passive",IFERROR(IF(ISNUMBER(INDEX(Active[M_NOAEL], 4)),
                          INDEX(Active[M_NOAEL], 4)/O146,""),""),"")</f>
        <v/>
      </c>
      <c r="Q146" s="370" t="str">
        <f>IFERROR(IF(Active5=TRUE,HLOOKUP(Mammal_Chronic[[#This Row],[Crop]],Input_Scenario,15,FALSE)*HLOOKUP(Mammal_Chronic[[#This Row],[Crop]],Input_Scenario,8,FALSE)*Mammal_Chronic[[#This Row],[SVm]],""),"")</f>
        <v/>
      </c>
      <c r="R146" s="370" t="str">
        <f ca="1">IF($B$3&lt;&gt;"Passive",IFERROR(IF(ISNUMBER(INDEX(Active[M_NOAEL], 5)),
                          INDEX(Active[M_NOAEL], 5)/Q146,""),""),"")</f>
        <v/>
      </c>
    </row>
    <row r="147" spans="1:18">
      <c r="A147" s="56"/>
      <c r="B147" s="314" t="str">
        <f t="shared" ca="1" si="3"/>
        <v>No input</v>
      </c>
      <c r="C147" s="72" t="s">
        <v>181</v>
      </c>
      <c r="D147" s="73" t="s">
        <v>108</v>
      </c>
      <c r="E147" s="73" t="s">
        <v>272</v>
      </c>
      <c r="F147" s="113">
        <v>4.2</v>
      </c>
      <c r="G147" s="203" t="str">
        <f ca="1">IF(AND(Mammal_Chronic[[#This Row],[Relevance]]="Input provided", Count&gt;=1),
       IF(M_ChronicScheme="C(mix)",
                 HLOOKUP(Mammal_Chronic[[#This Row],[Crop]], Input_Scenario,10,FALSE)*Mammal_Chronic[[#This Row],[SVm]]*HLOOKUP(Mammal_Chronic[[#This Row],[Crop]],Input_Scenario,8,FALSE),""),"")</f>
        <v/>
      </c>
      <c r="H147" s="368" t="str">
        <f t="shared" si="4"/>
        <v/>
      </c>
      <c r="I147" s="370" t="str">
        <f>IFERROR(IF(Active1=TRUE,HLOOKUP(Mammal_Chronic[[#This Row],[Crop]],Input_Scenario,11,FALSE)*HLOOKUP(Mammal_Chronic[[#This Row],[Crop]],Input_Scenario,8,FALSE)*Mammal_Chronic[[#This Row],[SVm]],""),"")</f>
        <v/>
      </c>
      <c r="J147" s="370" t="str">
        <f t="shared" ca="1" si="5"/>
        <v/>
      </c>
      <c r="K147" s="370" t="str">
        <f>IFERROR(IF(Active2=TRUE,HLOOKUP(Mammal_Chronic[[#This Row],[Crop]],Input_Scenario,12,FALSE)*HLOOKUP(Mammal_Chronic[[#This Row],[Crop]],Input_Scenario,8,FALSE)*Mammal_Chronic[[#This Row],[SVm]],""),"")</f>
        <v/>
      </c>
      <c r="L147" s="370" t="str">
        <f ca="1">IF($B$3&lt;&gt;"Passive",IFERROR(IF(ISNUMBER(INDEX(Active[M_NOAEL], 2)),
                          INDEX(Active[M_NOAEL], 2)/K147,""),""),"")</f>
        <v/>
      </c>
      <c r="M147" s="370" t="str">
        <f>IFERROR(IF(Active3=TRUE,HLOOKUP(Mammal_Chronic[[#This Row],[Crop]],Input_Scenario,13,FALSE)*HLOOKUP(Mammal_Chronic[[#This Row],[Crop]],Input_Scenario,8,FALSE)*Mammal_Chronic[[#This Row],[SVm]],""),"")</f>
        <v/>
      </c>
      <c r="N147" s="370" t="str">
        <f ca="1">IF($B$3&lt;&gt;"Passive",IFERROR(IF(ISNUMBER(INDEX(Active[M_NOAEL], 3)),
                          INDEX(Active[M_NOAEL], 3)/M147,""),""),"")</f>
        <v/>
      </c>
      <c r="O147" s="370" t="str">
        <f>IFERROR(IF(Active4=TRUE,HLOOKUP(Mammal_Chronic[[#This Row],[Crop]],Input_Scenario,14,FALSE)*HLOOKUP(Mammal_Chronic[[#This Row],[Crop]],Input_Scenario,8,FALSE)*Mammal_Chronic[[#This Row],[SVm]],""),"")</f>
        <v/>
      </c>
      <c r="P147" s="370" t="str">
        <f ca="1">IF($B$3&lt;&gt;"Passive",IFERROR(IF(ISNUMBER(INDEX(Active[M_NOAEL], 4)),
                          INDEX(Active[M_NOAEL], 4)/O147,""),""),"")</f>
        <v/>
      </c>
      <c r="Q147" s="370" t="str">
        <f>IFERROR(IF(Active5=TRUE,HLOOKUP(Mammal_Chronic[[#This Row],[Crop]],Input_Scenario,15,FALSE)*HLOOKUP(Mammal_Chronic[[#This Row],[Crop]],Input_Scenario,8,FALSE)*Mammal_Chronic[[#This Row],[SVm]],""),"")</f>
        <v/>
      </c>
      <c r="R147" s="370" t="str">
        <f ca="1">IF($B$3&lt;&gt;"Passive",IFERROR(IF(ISNUMBER(INDEX(Active[M_NOAEL], 5)),
                          INDEX(Active[M_NOAEL], 5)/Q147,""),""),"")</f>
        <v/>
      </c>
    </row>
    <row r="148" spans="1:18">
      <c r="A148" s="56"/>
      <c r="B148" s="314" t="str">
        <f t="shared" ca="1" si="3"/>
        <v>No input</v>
      </c>
      <c r="C148" s="72" t="s">
        <v>181</v>
      </c>
      <c r="D148" s="73" t="s">
        <v>110</v>
      </c>
      <c r="E148" s="73" t="s">
        <v>275</v>
      </c>
      <c r="F148" s="113">
        <v>14.3</v>
      </c>
      <c r="G148" s="203" t="str">
        <f ca="1">IF(AND(Mammal_Chronic[[#This Row],[Relevance]]="Input provided", Count&gt;=1),
       IF(M_ChronicScheme="C(mix)",
                 HLOOKUP(Mammal_Chronic[[#This Row],[Crop]], Input_Scenario,10,FALSE)*Mammal_Chronic[[#This Row],[SVm]]*HLOOKUP(Mammal_Chronic[[#This Row],[Crop]],Input_Scenario,8,FALSE),""),"")</f>
        <v/>
      </c>
      <c r="H148" s="368" t="str">
        <f t="shared" si="4"/>
        <v/>
      </c>
      <c r="I148" s="370" t="str">
        <f>IFERROR(IF(Active1=TRUE,HLOOKUP(Mammal_Chronic[[#This Row],[Crop]],Input_Scenario,11,FALSE)*HLOOKUP(Mammal_Chronic[[#This Row],[Crop]],Input_Scenario,8,FALSE)*Mammal_Chronic[[#This Row],[SVm]],""),"")</f>
        <v/>
      </c>
      <c r="J148" s="370" t="str">
        <f t="shared" ca="1" si="5"/>
        <v/>
      </c>
      <c r="K148" s="370" t="str">
        <f>IFERROR(IF(Active2=TRUE,HLOOKUP(Mammal_Chronic[[#This Row],[Crop]],Input_Scenario,12,FALSE)*HLOOKUP(Mammal_Chronic[[#This Row],[Crop]],Input_Scenario,8,FALSE)*Mammal_Chronic[[#This Row],[SVm]],""),"")</f>
        <v/>
      </c>
      <c r="L148" s="370" t="str">
        <f ca="1">IF($B$3&lt;&gt;"Passive",IFERROR(IF(ISNUMBER(INDEX(Active[M_NOAEL], 2)),
                          INDEX(Active[M_NOAEL], 2)/K148,""),""),"")</f>
        <v/>
      </c>
      <c r="M148" s="370" t="str">
        <f>IFERROR(IF(Active3=TRUE,HLOOKUP(Mammal_Chronic[[#This Row],[Crop]],Input_Scenario,13,FALSE)*HLOOKUP(Mammal_Chronic[[#This Row],[Crop]],Input_Scenario,8,FALSE)*Mammal_Chronic[[#This Row],[SVm]],""),"")</f>
        <v/>
      </c>
      <c r="N148" s="370" t="str">
        <f ca="1">IF($B$3&lt;&gt;"Passive",IFERROR(IF(ISNUMBER(INDEX(Active[M_NOAEL], 3)),
                          INDEX(Active[M_NOAEL], 3)/M148,""),""),"")</f>
        <v/>
      </c>
      <c r="O148" s="370" t="str">
        <f>IFERROR(IF(Active4=TRUE,HLOOKUP(Mammal_Chronic[[#This Row],[Crop]],Input_Scenario,14,FALSE)*HLOOKUP(Mammal_Chronic[[#This Row],[Crop]],Input_Scenario,8,FALSE)*Mammal_Chronic[[#This Row],[SVm]],""),"")</f>
        <v/>
      </c>
      <c r="P148" s="370" t="str">
        <f ca="1">IF($B$3&lt;&gt;"Passive",IFERROR(IF(ISNUMBER(INDEX(Active[M_NOAEL], 4)),
                          INDEX(Active[M_NOAEL], 4)/O148,""),""),"")</f>
        <v/>
      </c>
      <c r="Q148" s="370" t="str">
        <f>IFERROR(IF(Active5=TRUE,HLOOKUP(Mammal_Chronic[[#This Row],[Crop]],Input_Scenario,15,FALSE)*HLOOKUP(Mammal_Chronic[[#This Row],[Crop]],Input_Scenario,8,FALSE)*Mammal_Chronic[[#This Row],[SVm]],""),"")</f>
        <v/>
      </c>
      <c r="R148" s="370" t="str">
        <f ca="1">IF($B$3&lt;&gt;"Passive",IFERROR(IF(ISNUMBER(INDEX(Active[M_NOAEL], 5)),
                          INDEX(Active[M_NOAEL], 5)/Q148,""),""),"")</f>
        <v/>
      </c>
    </row>
    <row r="149" spans="1:18">
      <c r="A149" s="56"/>
      <c r="B149" s="314" t="str">
        <f t="shared" ca="1" si="3"/>
        <v>No input</v>
      </c>
      <c r="C149" s="72" t="s">
        <v>181</v>
      </c>
      <c r="D149" s="73" t="s">
        <v>110</v>
      </c>
      <c r="E149" s="73" t="s">
        <v>271</v>
      </c>
      <c r="F149" s="113">
        <v>7.8</v>
      </c>
      <c r="G149" s="203" t="str">
        <f ca="1">IF(AND(Mammal_Chronic[[#This Row],[Relevance]]="Input provided", Count&gt;=1),
       IF(M_ChronicScheme="C(mix)",
                 HLOOKUP(Mammal_Chronic[[#This Row],[Crop]], Input_Scenario,10,FALSE)*Mammal_Chronic[[#This Row],[SVm]]*HLOOKUP(Mammal_Chronic[[#This Row],[Crop]],Input_Scenario,8,FALSE),""),"")</f>
        <v/>
      </c>
      <c r="H149" s="368" t="str">
        <f t="shared" si="4"/>
        <v/>
      </c>
      <c r="I149" s="370" t="str">
        <f>IFERROR(IF(Active1=TRUE,HLOOKUP(Mammal_Chronic[[#This Row],[Crop]],Input_Scenario,11,FALSE)*HLOOKUP(Mammal_Chronic[[#This Row],[Crop]],Input_Scenario,8,FALSE)*Mammal_Chronic[[#This Row],[SVm]],""),"")</f>
        <v/>
      </c>
      <c r="J149" s="370" t="str">
        <f t="shared" ca="1" si="5"/>
        <v/>
      </c>
      <c r="K149" s="370" t="str">
        <f>IFERROR(IF(Active2=TRUE,HLOOKUP(Mammal_Chronic[[#This Row],[Crop]],Input_Scenario,12,FALSE)*HLOOKUP(Mammal_Chronic[[#This Row],[Crop]],Input_Scenario,8,FALSE)*Mammal_Chronic[[#This Row],[SVm]],""),"")</f>
        <v/>
      </c>
      <c r="L149" s="370" t="str">
        <f ca="1">IF($B$3&lt;&gt;"Passive",IFERROR(IF(ISNUMBER(INDEX(Active[M_NOAEL], 2)),
                          INDEX(Active[M_NOAEL], 2)/K149,""),""),"")</f>
        <v/>
      </c>
      <c r="M149" s="370" t="str">
        <f>IFERROR(IF(Active3=TRUE,HLOOKUP(Mammal_Chronic[[#This Row],[Crop]],Input_Scenario,13,FALSE)*HLOOKUP(Mammal_Chronic[[#This Row],[Crop]],Input_Scenario,8,FALSE)*Mammal_Chronic[[#This Row],[SVm]],""),"")</f>
        <v/>
      </c>
      <c r="N149" s="370" t="str">
        <f ca="1">IF($B$3&lt;&gt;"Passive",IFERROR(IF(ISNUMBER(INDEX(Active[M_NOAEL], 3)),
                          INDEX(Active[M_NOAEL], 3)/M149,""),""),"")</f>
        <v/>
      </c>
      <c r="O149" s="370" t="str">
        <f>IFERROR(IF(Active4=TRUE,HLOOKUP(Mammal_Chronic[[#This Row],[Crop]],Input_Scenario,14,FALSE)*HLOOKUP(Mammal_Chronic[[#This Row],[Crop]],Input_Scenario,8,FALSE)*Mammal_Chronic[[#This Row],[SVm]],""),"")</f>
        <v/>
      </c>
      <c r="P149" s="370" t="str">
        <f ca="1">IF($B$3&lt;&gt;"Passive",IFERROR(IF(ISNUMBER(INDEX(Active[M_NOAEL], 4)),
                          INDEX(Active[M_NOAEL], 4)/O149,""),""),"")</f>
        <v/>
      </c>
      <c r="Q149" s="370" t="str">
        <f>IFERROR(IF(Active5=TRUE,HLOOKUP(Mammal_Chronic[[#This Row],[Crop]],Input_Scenario,15,FALSE)*HLOOKUP(Mammal_Chronic[[#This Row],[Crop]],Input_Scenario,8,FALSE)*Mammal_Chronic[[#This Row],[SVm]],""),"")</f>
        <v/>
      </c>
      <c r="R149" s="370" t="str">
        <f ca="1">IF($B$3&lt;&gt;"Passive",IFERROR(IF(ISNUMBER(INDEX(Active[M_NOAEL], 5)),
                          INDEX(Active[M_NOAEL], 5)/Q149,""),""),"")</f>
        <v/>
      </c>
    </row>
    <row r="150" spans="1:18">
      <c r="A150" s="56"/>
      <c r="B150" s="314" t="str">
        <f t="shared" ca="1" si="3"/>
        <v>No input</v>
      </c>
      <c r="C150" s="72" t="s">
        <v>181</v>
      </c>
      <c r="D150" s="73" t="s">
        <v>111</v>
      </c>
      <c r="E150" s="73" t="s">
        <v>272</v>
      </c>
      <c r="F150" s="113">
        <v>1.9</v>
      </c>
      <c r="G150" s="203" t="str">
        <f ca="1">IF(AND(Mammal_Chronic[[#This Row],[Relevance]]="Input provided", Count&gt;=1),
       IF(M_ChronicScheme="C(mix)",
                 HLOOKUP(Mammal_Chronic[[#This Row],[Crop]], Input_Scenario,10,FALSE)*Mammal_Chronic[[#This Row],[SVm]]*HLOOKUP(Mammal_Chronic[[#This Row],[Crop]],Input_Scenario,8,FALSE),""),"")</f>
        <v/>
      </c>
      <c r="H150" s="368" t="str">
        <f t="shared" si="4"/>
        <v/>
      </c>
      <c r="I150" s="370" t="str">
        <f>IFERROR(IF(Active1=TRUE,HLOOKUP(Mammal_Chronic[[#This Row],[Crop]],Input_Scenario,11,FALSE)*HLOOKUP(Mammal_Chronic[[#This Row],[Crop]],Input_Scenario,8,FALSE)*Mammal_Chronic[[#This Row],[SVm]],""),"")</f>
        <v/>
      </c>
      <c r="J150" s="370" t="str">
        <f t="shared" ca="1" si="5"/>
        <v/>
      </c>
      <c r="K150" s="370" t="str">
        <f>IFERROR(IF(Active2=TRUE,HLOOKUP(Mammal_Chronic[[#This Row],[Crop]],Input_Scenario,12,FALSE)*HLOOKUP(Mammal_Chronic[[#This Row],[Crop]],Input_Scenario,8,FALSE)*Mammal_Chronic[[#This Row],[SVm]],""),"")</f>
        <v/>
      </c>
      <c r="L150" s="370" t="str">
        <f ca="1">IF($B$3&lt;&gt;"Passive",IFERROR(IF(ISNUMBER(INDEX(Active[M_NOAEL], 2)),
                          INDEX(Active[M_NOAEL], 2)/K150,""),""),"")</f>
        <v/>
      </c>
      <c r="M150" s="370" t="str">
        <f>IFERROR(IF(Active3=TRUE,HLOOKUP(Mammal_Chronic[[#This Row],[Crop]],Input_Scenario,13,FALSE)*HLOOKUP(Mammal_Chronic[[#This Row],[Crop]],Input_Scenario,8,FALSE)*Mammal_Chronic[[#This Row],[SVm]],""),"")</f>
        <v/>
      </c>
      <c r="N150" s="370" t="str">
        <f ca="1">IF($B$3&lt;&gt;"Passive",IFERROR(IF(ISNUMBER(INDEX(Active[M_NOAEL], 3)),
                          INDEX(Active[M_NOAEL], 3)/M150,""),""),"")</f>
        <v/>
      </c>
      <c r="O150" s="370" t="str">
        <f>IFERROR(IF(Active4=TRUE,HLOOKUP(Mammal_Chronic[[#This Row],[Crop]],Input_Scenario,14,FALSE)*HLOOKUP(Mammal_Chronic[[#This Row],[Crop]],Input_Scenario,8,FALSE)*Mammal_Chronic[[#This Row],[SVm]],""),"")</f>
        <v/>
      </c>
      <c r="P150" s="370" t="str">
        <f ca="1">IF($B$3&lt;&gt;"Passive",IFERROR(IF(ISNUMBER(INDEX(Active[M_NOAEL], 4)),
                          INDEX(Active[M_NOAEL], 4)/O150,""),""),"")</f>
        <v/>
      </c>
      <c r="Q150" s="370" t="str">
        <f>IFERROR(IF(Active5=TRUE,HLOOKUP(Mammal_Chronic[[#This Row],[Crop]],Input_Scenario,15,FALSE)*HLOOKUP(Mammal_Chronic[[#This Row],[Crop]],Input_Scenario,8,FALSE)*Mammal_Chronic[[#This Row],[SVm]],""),"")</f>
        <v/>
      </c>
      <c r="R150" s="370" t="str">
        <f ca="1">IF($B$3&lt;&gt;"Passive",IFERROR(IF(ISNUMBER(INDEX(Active[M_NOAEL], 5)),
                          INDEX(Active[M_NOAEL], 5)/Q150,""),""),"")</f>
        <v/>
      </c>
    </row>
    <row r="151" spans="1:18">
      <c r="A151" s="56"/>
      <c r="B151" s="314" t="str">
        <f t="shared" ca="1" si="3"/>
        <v>No input</v>
      </c>
      <c r="C151" s="72" t="s">
        <v>181</v>
      </c>
      <c r="D151" s="73" t="s">
        <v>109</v>
      </c>
      <c r="E151" s="73" t="s">
        <v>273</v>
      </c>
      <c r="F151" s="113">
        <v>28.9</v>
      </c>
      <c r="G151" s="203" t="str">
        <f ca="1">IF(AND(Mammal_Chronic[[#This Row],[Relevance]]="Input provided", Count&gt;=1),
       IF(M_ChronicScheme="C(mix)",
                 HLOOKUP(Mammal_Chronic[[#This Row],[Crop]], Input_Scenario,10,FALSE)*Mammal_Chronic[[#This Row],[SVm]]*HLOOKUP(Mammal_Chronic[[#This Row],[Crop]],Input_Scenario,8,FALSE),""),"")</f>
        <v/>
      </c>
      <c r="H151" s="368" t="str">
        <f t="shared" si="4"/>
        <v/>
      </c>
      <c r="I151" s="370" t="str">
        <f>IFERROR(IF(Active1=TRUE,HLOOKUP(Mammal_Chronic[[#This Row],[Crop]],Input_Scenario,11,FALSE)*HLOOKUP(Mammal_Chronic[[#This Row],[Crop]],Input_Scenario,8,FALSE)*Mammal_Chronic[[#This Row],[SVm]],""),"")</f>
        <v/>
      </c>
      <c r="J151" s="370" t="str">
        <f t="shared" ca="1" si="5"/>
        <v/>
      </c>
      <c r="K151" s="370" t="str">
        <f>IFERROR(IF(Active2=TRUE,HLOOKUP(Mammal_Chronic[[#This Row],[Crop]],Input_Scenario,12,FALSE)*HLOOKUP(Mammal_Chronic[[#This Row],[Crop]],Input_Scenario,8,FALSE)*Mammal_Chronic[[#This Row],[SVm]],""),"")</f>
        <v/>
      </c>
      <c r="L151" s="370" t="str">
        <f ca="1">IF($B$3&lt;&gt;"Passive",IFERROR(IF(ISNUMBER(INDEX(Active[M_NOAEL], 2)),
                          INDEX(Active[M_NOAEL], 2)/K151,""),""),"")</f>
        <v/>
      </c>
      <c r="M151" s="370" t="str">
        <f>IFERROR(IF(Active3=TRUE,HLOOKUP(Mammal_Chronic[[#This Row],[Crop]],Input_Scenario,13,FALSE)*HLOOKUP(Mammal_Chronic[[#This Row],[Crop]],Input_Scenario,8,FALSE)*Mammal_Chronic[[#This Row],[SVm]],""),"")</f>
        <v/>
      </c>
      <c r="N151" s="370" t="str">
        <f ca="1">IF($B$3&lt;&gt;"Passive",IFERROR(IF(ISNUMBER(INDEX(Active[M_NOAEL], 3)),
                          INDEX(Active[M_NOAEL], 3)/M151,""),""),"")</f>
        <v/>
      </c>
      <c r="O151" s="370" t="str">
        <f>IFERROR(IF(Active4=TRUE,HLOOKUP(Mammal_Chronic[[#This Row],[Crop]],Input_Scenario,14,FALSE)*HLOOKUP(Mammal_Chronic[[#This Row],[Crop]],Input_Scenario,8,FALSE)*Mammal_Chronic[[#This Row],[SVm]],""),"")</f>
        <v/>
      </c>
      <c r="P151" s="370" t="str">
        <f ca="1">IF($B$3&lt;&gt;"Passive",IFERROR(IF(ISNUMBER(INDEX(Active[M_NOAEL], 4)),
                          INDEX(Active[M_NOAEL], 4)/O151,""),""),"")</f>
        <v/>
      </c>
      <c r="Q151" s="370" t="str">
        <f>IFERROR(IF(Active5=TRUE,HLOOKUP(Mammal_Chronic[[#This Row],[Crop]],Input_Scenario,15,FALSE)*HLOOKUP(Mammal_Chronic[[#This Row],[Crop]],Input_Scenario,8,FALSE)*Mammal_Chronic[[#This Row],[SVm]],""),"")</f>
        <v/>
      </c>
      <c r="R151" s="370" t="str">
        <f ca="1">IF($B$3&lt;&gt;"Passive",IFERROR(IF(ISNUMBER(INDEX(Active[M_NOAEL], 5)),
                          INDEX(Active[M_NOAEL], 5)/Q151,""),""),"")</f>
        <v/>
      </c>
    </row>
    <row r="152" spans="1:18">
      <c r="A152" s="56"/>
      <c r="B152" s="314" t="str">
        <f t="shared" ca="1" si="3"/>
        <v>No input</v>
      </c>
      <c r="C152" s="72" t="s">
        <v>181</v>
      </c>
      <c r="D152" s="73" t="s">
        <v>109</v>
      </c>
      <c r="E152" s="73" t="s">
        <v>275</v>
      </c>
      <c r="F152" s="113">
        <v>5.7</v>
      </c>
      <c r="G152" s="203" t="str">
        <f ca="1">IF(AND(Mammal_Chronic[[#This Row],[Relevance]]="Input provided", Count&gt;=1),
       IF(M_ChronicScheme="C(mix)",
                 HLOOKUP(Mammal_Chronic[[#This Row],[Crop]], Input_Scenario,10,FALSE)*Mammal_Chronic[[#This Row],[SVm]]*HLOOKUP(Mammal_Chronic[[#This Row],[Crop]],Input_Scenario,8,FALSE),""),"")</f>
        <v/>
      </c>
      <c r="H152" s="368" t="str">
        <f t="shared" si="4"/>
        <v/>
      </c>
      <c r="I152" s="370" t="str">
        <f>IFERROR(IF(Active1=TRUE,HLOOKUP(Mammal_Chronic[[#This Row],[Crop]],Input_Scenario,11,FALSE)*HLOOKUP(Mammal_Chronic[[#This Row],[Crop]],Input_Scenario,8,FALSE)*Mammal_Chronic[[#This Row],[SVm]],""),"")</f>
        <v/>
      </c>
      <c r="J152" s="370" t="str">
        <f t="shared" ca="1" si="5"/>
        <v/>
      </c>
      <c r="K152" s="370" t="str">
        <f>IFERROR(IF(Active2=TRUE,HLOOKUP(Mammal_Chronic[[#This Row],[Crop]],Input_Scenario,12,FALSE)*HLOOKUP(Mammal_Chronic[[#This Row],[Crop]],Input_Scenario,8,FALSE)*Mammal_Chronic[[#This Row],[SVm]],""),"")</f>
        <v/>
      </c>
      <c r="L152" s="370" t="str">
        <f ca="1">IF($B$3&lt;&gt;"Passive",IFERROR(IF(ISNUMBER(INDEX(Active[M_NOAEL], 2)),
                          INDEX(Active[M_NOAEL], 2)/K152,""),""),"")</f>
        <v/>
      </c>
      <c r="M152" s="370" t="str">
        <f>IFERROR(IF(Active3=TRUE,HLOOKUP(Mammal_Chronic[[#This Row],[Crop]],Input_Scenario,13,FALSE)*HLOOKUP(Mammal_Chronic[[#This Row],[Crop]],Input_Scenario,8,FALSE)*Mammal_Chronic[[#This Row],[SVm]],""),"")</f>
        <v/>
      </c>
      <c r="N152" s="370" t="str">
        <f ca="1">IF($B$3&lt;&gt;"Passive",IFERROR(IF(ISNUMBER(INDEX(Active[M_NOAEL], 3)),
                          INDEX(Active[M_NOAEL], 3)/M152,""),""),"")</f>
        <v/>
      </c>
      <c r="O152" s="370" t="str">
        <f>IFERROR(IF(Active4=TRUE,HLOOKUP(Mammal_Chronic[[#This Row],[Crop]],Input_Scenario,14,FALSE)*HLOOKUP(Mammal_Chronic[[#This Row],[Crop]],Input_Scenario,8,FALSE)*Mammal_Chronic[[#This Row],[SVm]],""),"")</f>
        <v/>
      </c>
      <c r="P152" s="370" t="str">
        <f ca="1">IF($B$3&lt;&gt;"Passive",IFERROR(IF(ISNUMBER(INDEX(Active[M_NOAEL], 4)),
                          INDEX(Active[M_NOAEL], 4)/O152,""),""),"")</f>
        <v/>
      </c>
      <c r="Q152" s="370" t="str">
        <f>IFERROR(IF(Active5=TRUE,HLOOKUP(Mammal_Chronic[[#This Row],[Crop]],Input_Scenario,15,FALSE)*HLOOKUP(Mammal_Chronic[[#This Row],[Crop]],Input_Scenario,8,FALSE)*Mammal_Chronic[[#This Row],[SVm]],""),"")</f>
        <v/>
      </c>
      <c r="R152" s="370" t="str">
        <f ca="1">IF($B$3&lt;&gt;"Passive",IFERROR(IF(ISNUMBER(INDEX(Active[M_NOAEL], 5)),
                          INDEX(Active[M_NOAEL], 5)/Q152,""),""),"")</f>
        <v/>
      </c>
    </row>
    <row r="153" spans="1:18">
      <c r="A153" s="56"/>
      <c r="B153" s="314" t="str">
        <f t="shared" ca="1" si="3"/>
        <v>No input</v>
      </c>
      <c r="C153" s="72" t="s">
        <v>181</v>
      </c>
      <c r="D153" s="73" t="s">
        <v>109</v>
      </c>
      <c r="E153" s="73" t="s">
        <v>271</v>
      </c>
      <c r="F153" s="113">
        <v>3.1</v>
      </c>
      <c r="G153" s="203" t="str">
        <f ca="1">IF(AND(Mammal_Chronic[[#This Row],[Relevance]]="Input provided", Count&gt;=1),
       IF(M_ChronicScheme="C(mix)",
                 HLOOKUP(Mammal_Chronic[[#This Row],[Crop]], Input_Scenario,10,FALSE)*Mammal_Chronic[[#This Row],[SVm]]*HLOOKUP(Mammal_Chronic[[#This Row],[Crop]],Input_Scenario,8,FALSE),""),"")</f>
        <v/>
      </c>
      <c r="H153" s="368" t="str">
        <f t="shared" si="4"/>
        <v/>
      </c>
      <c r="I153" s="370" t="str">
        <f>IFERROR(IF(Active1=TRUE,HLOOKUP(Mammal_Chronic[[#This Row],[Crop]],Input_Scenario,11,FALSE)*HLOOKUP(Mammal_Chronic[[#This Row],[Crop]],Input_Scenario,8,FALSE)*Mammal_Chronic[[#This Row],[SVm]],""),"")</f>
        <v/>
      </c>
      <c r="J153" s="370" t="str">
        <f t="shared" ca="1" si="5"/>
        <v/>
      </c>
      <c r="K153" s="370" t="str">
        <f>IFERROR(IF(Active2=TRUE,HLOOKUP(Mammal_Chronic[[#This Row],[Crop]],Input_Scenario,12,FALSE)*HLOOKUP(Mammal_Chronic[[#This Row],[Crop]],Input_Scenario,8,FALSE)*Mammal_Chronic[[#This Row],[SVm]],""),"")</f>
        <v/>
      </c>
      <c r="L153" s="370" t="str">
        <f ca="1">IF($B$3&lt;&gt;"Passive",IFERROR(IF(ISNUMBER(INDEX(Active[M_NOAEL], 2)),
                          INDEX(Active[M_NOAEL], 2)/K153,""),""),"")</f>
        <v/>
      </c>
      <c r="M153" s="370" t="str">
        <f>IFERROR(IF(Active3=TRUE,HLOOKUP(Mammal_Chronic[[#This Row],[Crop]],Input_Scenario,13,FALSE)*HLOOKUP(Mammal_Chronic[[#This Row],[Crop]],Input_Scenario,8,FALSE)*Mammal_Chronic[[#This Row],[SVm]],""),"")</f>
        <v/>
      </c>
      <c r="N153" s="370" t="str">
        <f ca="1">IF($B$3&lt;&gt;"Passive",IFERROR(IF(ISNUMBER(INDEX(Active[M_NOAEL], 3)),
                          INDEX(Active[M_NOAEL], 3)/M153,""),""),"")</f>
        <v/>
      </c>
      <c r="O153" s="370" t="str">
        <f>IFERROR(IF(Active4=TRUE,HLOOKUP(Mammal_Chronic[[#This Row],[Crop]],Input_Scenario,14,FALSE)*HLOOKUP(Mammal_Chronic[[#This Row],[Crop]],Input_Scenario,8,FALSE)*Mammal_Chronic[[#This Row],[SVm]],""),"")</f>
        <v/>
      </c>
      <c r="P153" s="370" t="str">
        <f ca="1">IF($B$3&lt;&gt;"Passive",IFERROR(IF(ISNUMBER(INDEX(Active[M_NOAEL], 4)),
                          INDEX(Active[M_NOAEL], 4)/O153,""),""),"")</f>
        <v/>
      </c>
      <c r="Q153" s="370" t="str">
        <f>IFERROR(IF(Active5=TRUE,HLOOKUP(Mammal_Chronic[[#This Row],[Crop]],Input_Scenario,15,FALSE)*HLOOKUP(Mammal_Chronic[[#This Row],[Crop]],Input_Scenario,8,FALSE)*Mammal_Chronic[[#This Row],[SVm]],""),"")</f>
        <v/>
      </c>
      <c r="R153" s="370" t="str">
        <f ca="1">IF($B$3&lt;&gt;"Passive",IFERROR(IF(ISNUMBER(INDEX(Active[M_NOAEL], 5)),
                          INDEX(Active[M_NOAEL], 5)/Q153,""),""),"")</f>
        <v/>
      </c>
    </row>
    <row r="154" spans="1:18">
      <c r="A154" s="56"/>
      <c r="B154" s="314" t="str">
        <f t="shared" ca="1" si="3"/>
        <v>No input</v>
      </c>
      <c r="C154" s="72" t="s">
        <v>229</v>
      </c>
      <c r="D154" s="73" t="s">
        <v>108</v>
      </c>
      <c r="E154" s="73" t="s">
        <v>272</v>
      </c>
      <c r="F154" s="113">
        <v>4.2</v>
      </c>
      <c r="G154" s="203" t="str">
        <f ca="1">IF(AND(Mammal_Chronic[[#This Row],[Relevance]]="Input provided", Count&gt;=1),
       IF(M_ChronicScheme="C(mix)",
                 HLOOKUP(Mammal_Chronic[[#This Row],[Crop]], Input_Scenario,10,FALSE)*Mammal_Chronic[[#This Row],[SVm]]*HLOOKUP(Mammal_Chronic[[#This Row],[Crop]],Input_Scenario,8,FALSE),""),"")</f>
        <v/>
      </c>
      <c r="H154" s="368" t="str">
        <f t="shared" si="4"/>
        <v/>
      </c>
      <c r="I154" s="370" t="str">
        <f>IFERROR(IF(Active1=TRUE,HLOOKUP(Mammal_Chronic[[#This Row],[Crop]],Input_Scenario,11,FALSE)*HLOOKUP(Mammal_Chronic[[#This Row],[Crop]],Input_Scenario,8,FALSE)*Mammal_Chronic[[#This Row],[SVm]],""),"")</f>
        <v/>
      </c>
      <c r="J154" s="370" t="str">
        <f t="shared" ca="1" si="5"/>
        <v/>
      </c>
      <c r="K154" s="370" t="str">
        <f>IFERROR(IF(Active2=TRUE,HLOOKUP(Mammal_Chronic[[#This Row],[Crop]],Input_Scenario,12,FALSE)*HLOOKUP(Mammal_Chronic[[#This Row],[Crop]],Input_Scenario,8,FALSE)*Mammal_Chronic[[#This Row],[SVm]],""),"")</f>
        <v/>
      </c>
      <c r="L154" s="370" t="str">
        <f ca="1">IF($B$3&lt;&gt;"Passive",IFERROR(IF(ISNUMBER(INDEX(Active[M_NOAEL], 2)),
                          INDEX(Active[M_NOAEL], 2)/K154,""),""),"")</f>
        <v/>
      </c>
      <c r="M154" s="370" t="str">
        <f>IFERROR(IF(Active3=TRUE,HLOOKUP(Mammal_Chronic[[#This Row],[Crop]],Input_Scenario,13,FALSE)*HLOOKUP(Mammal_Chronic[[#This Row],[Crop]],Input_Scenario,8,FALSE)*Mammal_Chronic[[#This Row],[SVm]],""),"")</f>
        <v/>
      </c>
      <c r="N154" s="370" t="str">
        <f ca="1">IF($B$3&lt;&gt;"Passive",IFERROR(IF(ISNUMBER(INDEX(Active[M_NOAEL], 3)),
                          INDEX(Active[M_NOAEL], 3)/M154,""),""),"")</f>
        <v/>
      </c>
      <c r="O154" s="370" t="str">
        <f>IFERROR(IF(Active4=TRUE,HLOOKUP(Mammal_Chronic[[#This Row],[Crop]],Input_Scenario,14,FALSE)*HLOOKUP(Mammal_Chronic[[#This Row],[Crop]],Input_Scenario,8,FALSE)*Mammal_Chronic[[#This Row],[SVm]],""),"")</f>
        <v/>
      </c>
      <c r="P154" s="370" t="str">
        <f ca="1">IF($B$3&lt;&gt;"Passive",IFERROR(IF(ISNUMBER(INDEX(Active[M_NOAEL], 4)),
                          INDEX(Active[M_NOAEL], 4)/O154,""),""),"")</f>
        <v/>
      </c>
      <c r="Q154" s="370" t="str">
        <f>IFERROR(IF(Active5=TRUE,HLOOKUP(Mammal_Chronic[[#This Row],[Crop]],Input_Scenario,15,FALSE)*HLOOKUP(Mammal_Chronic[[#This Row],[Crop]],Input_Scenario,8,FALSE)*Mammal_Chronic[[#This Row],[SVm]],""),"")</f>
        <v/>
      </c>
      <c r="R154" s="370" t="str">
        <f ca="1">IF($B$3&lt;&gt;"Passive",IFERROR(IF(ISNUMBER(INDEX(Active[M_NOAEL], 5)),
                          INDEX(Active[M_NOAEL], 5)/Q154,""),""),"")</f>
        <v/>
      </c>
    </row>
    <row r="155" spans="1:18">
      <c r="A155" s="56"/>
      <c r="B155" s="314" t="str">
        <f t="shared" ca="1" si="3"/>
        <v>No input</v>
      </c>
      <c r="C155" s="72" t="s">
        <v>229</v>
      </c>
      <c r="D155" s="73" t="s">
        <v>110</v>
      </c>
      <c r="E155" s="73" t="s">
        <v>275</v>
      </c>
      <c r="F155" s="113">
        <v>14.3</v>
      </c>
      <c r="G155" s="203" t="str">
        <f ca="1">IF(AND(Mammal_Chronic[[#This Row],[Relevance]]="Input provided", Count&gt;=1),
       IF(M_ChronicScheme="C(mix)",
                 HLOOKUP(Mammal_Chronic[[#This Row],[Crop]], Input_Scenario,10,FALSE)*Mammal_Chronic[[#This Row],[SVm]]*HLOOKUP(Mammal_Chronic[[#This Row],[Crop]],Input_Scenario,8,FALSE),""),"")</f>
        <v/>
      </c>
      <c r="H155" s="368" t="str">
        <f t="shared" si="4"/>
        <v/>
      </c>
      <c r="I155" s="370" t="str">
        <f>IFERROR(IF(Active1=TRUE,HLOOKUP(Mammal_Chronic[[#This Row],[Crop]],Input_Scenario,11,FALSE)*HLOOKUP(Mammal_Chronic[[#This Row],[Crop]],Input_Scenario,8,FALSE)*Mammal_Chronic[[#This Row],[SVm]],""),"")</f>
        <v/>
      </c>
      <c r="J155" s="370" t="str">
        <f t="shared" ca="1" si="5"/>
        <v/>
      </c>
      <c r="K155" s="370" t="str">
        <f>IFERROR(IF(Active2=TRUE,HLOOKUP(Mammal_Chronic[[#This Row],[Crop]],Input_Scenario,12,FALSE)*HLOOKUP(Mammal_Chronic[[#This Row],[Crop]],Input_Scenario,8,FALSE)*Mammal_Chronic[[#This Row],[SVm]],""),"")</f>
        <v/>
      </c>
      <c r="L155" s="370" t="str">
        <f ca="1">IF($B$3&lt;&gt;"Passive",IFERROR(IF(ISNUMBER(INDEX(Active[M_NOAEL], 2)),
                          INDEX(Active[M_NOAEL], 2)/K155,""),""),"")</f>
        <v/>
      </c>
      <c r="M155" s="370" t="str">
        <f>IFERROR(IF(Active3=TRUE,HLOOKUP(Mammal_Chronic[[#This Row],[Crop]],Input_Scenario,13,FALSE)*HLOOKUP(Mammal_Chronic[[#This Row],[Crop]],Input_Scenario,8,FALSE)*Mammal_Chronic[[#This Row],[SVm]],""),"")</f>
        <v/>
      </c>
      <c r="N155" s="370" t="str">
        <f ca="1">IF($B$3&lt;&gt;"Passive",IFERROR(IF(ISNUMBER(INDEX(Active[M_NOAEL], 3)),
                          INDEX(Active[M_NOAEL], 3)/M155,""),""),"")</f>
        <v/>
      </c>
      <c r="O155" s="370" t="str">
        <f>IFERROR(IF(Active4=TRUE,HLOOKUP(Mammal_Chronic[[#This Row],[Crop]],Input_Scenario,14,FALSE)*HLOOKUP(Mammal_Chronic[[#This Row],[Crop]],Input_Scenario,8,FALSE)*Mammal_Chronic[[#This Row],[SVm]],""),"")</f>
        <v/>
      </c>
      <c r="P155" s="370" t="str">
        <f ca="1">IF($B$3&lt;&gt;"Passive",IFERROR(IF(ISNUMBER(INDEX(Active[M_NOAEL], 4)),
                          INDEX(Active[M_NOAEL], 4)/O155,""),""),"")</f>
        <v/>
      </c>
      <c r="Q155" s="370" t="str">
        <f>IFERROR(IF(Active5=TRUE,HLOOKUP(Mammal_Chronic[[#This Row],[Crop]],Input_Scenario,15,FALSE)*HLOOKUP(Mammal_Chronic[[#This Row],[Crop]],Input_Scenario,8,FALSE)*Mammal_Chronic[[#This Row],[SVm]],""),"")</f>
        <v/>
      </c>
      <c r="R155" s="370" t="str">
        <f ca="1">IF($B$3&lt;&gt;"Passive",IFERROR(IF(ISNUMBER(INDEX(Active[M_NOAEL], 5)),
                          INDEX(Active[M_NOAEL], 5)/Q155,""),""),"")</f>
        <v/>
      </c>
    </row>
    <row r="156" spans="1:18">
      <c r="A156" s="56"/>
      <c r="B156" s="314" t="str">
        <f t="shared" ca="1" si="3"/>
        <v>No input</v>
      </c>
      <c r="C156" s="72" t="s">
        <v>229</v>
      </c>
      <c r="D156" s="73" t="s">
        <v>110</v>
      </c>
      <c r="E156" s="73" t="s">
        <v>271</v>
      </c>
      <c r="F156" s="113">
        <v>7.8</v>
      </c>
      <c r="G156" s="203" t="str">
        <f ca="1">IF(AND(Mammal_Chronic[[#This Row],[Relevance]]="Input provided", Count&gt;=1),
       IF(M_ChronicScheme="C(mix)",
                 HLOOKUP(Mammal_Chronic[[#This Row],[Crop]], Input_Scenario,10,FALSE)*Mammal_Chronic[[#This Row],[SVm]]*HLOOKUP(Mammal_Chronic[[#This Row],[Crop]],Input_Scenario,8,FALSE),""),"")</f>
        <v/>
      </c>
      <c r="H156" s="368" t="str">
        <f t="shared" si="4"/>
        <v/>
      </c>
      <c r="I156" s="370" t="str">
        <f>IFERROR(IF(Active1=TRUE,HLOOKUP(Mammal_Chronic[[#This Row],[Crop]],Input_Scenario,11,FALSE)*HLOOKUP(Mammal_Chronic[[#This Row],[Crop]],Input_Scenario,8,FALSE)*Mammal_Chronic[[#This Row],[SVm]],""),"")</f>
        <v/>
      </c>
      <c r="J156" s="370" t="str">
        <f t="shared" ca="1" si="5"/>
        <v/>
      </c>
      <c r="K156" s="370" t="str">
        <f>IFERROR(IF(Active2=TRUE,HLOOKUP(Mammal_Chronic[[#This Row],[Crop]],Input_Scenario,12,FALSE)*HLOOKUP(Mammal_Chronic[[#This Row],[Crop]],Input_Scenario,8,FALSE)*Mammal_Chronic[[#This Row],[SVm]],""),"")</f>
        <v/>
      </c>
      <c r="L156" s="370" t="str">
        <f ca="1">IF($B$3&lt;&gt;"Passive",IFERROR(IF(ISNUMBER(INDEX(Active[M_NOAEL], 2)),
                          INDEX(Active[M_NOAEL], 2)/K156,""),""),"")</f>
        <v/>
      </c>
      <c r="M156" s="370" t="str">
        <f>IFERROR(IF(Active3=TRUE,HLOOKUP(Mammal_Chronic[[#This Row],[Crop]],Input_Scenario,13,FALSE)*HLOOKUP(Mammal_Chronic[[#This Row],[Crop]],Input_Scenario,8,FALSE)*Mammal_Chronic[[#This Row],[SVm]],""),"")</f>
        <v/>
      </c>
      <c r="N156" s="370" t="str">
        <f ca="1">IF($B$3&lt;&gt;"Passive",IFERROR(IF(ISNUMBER(INDEX(Active[M_NOAEL], 3)),
                          INDEX(Active[M_NOAEL], 3)/M156,""),""),"")</f>
        <v/>
      </c>
      <c r="O156" s="370" t="str">
        <f>IFERROR(IF(Active4=TRUE,HLOOKUP(Mammal_Chronic[[#This Row],[Crop]],Input_Scenario,14,FALSE)*HLOOKUP(Mammal_Chronic[[#This Row],[Crop]],Input_Scenario,8,FALSE)*Mammal_Chronic[[#This Row],[SVm]],""),"")</f>
        <v/>
      </c>
      <c r="P156" s="370" t="str">
        <f ca="1">IF($B$3&lt;&gt;"Passive",IFERROR(IF(ISNUMBER(INDEX(Active[M_NOAEL], 4)),
                          INDEX(Active[M_NOAEL], 4)/O156,""),""),"")</f>
        <v/>
      </c>
      <c r="Q156" s="370" t="str">
        <f>IFERROR(IF(Active5=TRUE,HLOOKUP(Mammal_Chronic[[#This Row],[Crop]],Input_Scenario,15,FALSE)*HLOOKUP(Mammal_Chronic[[#This Row],[Crop]],Input_Scenario,8,FALSE)*Mammal_Chronic[[#This Row],[SVm]],""),"")</f>
        <v/>
      </c>
      <c r="R156" s="370" t="str">
        <f ca="1">IF($B$3&lt;&gt;"Passive",IFERROR(IF(ISNUMBER(INDEX(Active[M_NOAEL], 5)),
                          INDEX(Active[M_NOAEL], 5)/Q156,""),""),"")</f>
        <v/>
      </c>
    </row>
    <row r="157" spans="1:18">
      <c r="A157" s="56"/>
      <c r="B157" s="314" t="str">
        <f t="shared" ca="1" si="3"/>
        <v>No input</v>
      </c>
      <c r="C157" s="72" t="s">
        <v>229</v>
      </c>
      <c r="D157" s="73" t="s">
        <v>111</v>
      </c>
      <c r="E157" s="73" t="s">
        <v>272</v>
      </c>
      <c r="F157" s="113">
        <v>1.9</v>
      </c>
      <c r="G157" s="203" t="str">
        <f ca="1">IF(AND(Mammal_Chronic[[#This Row],[Relevance]]="Input provided", Count&gt;=1),
       IF(M_ChronicScheme="C(mix)",
                 HLOOKUP(Mammal_Chronic[[#This Row],[Crop]], Input_Scenario,10,FALSE)*Mammal_Chronic[[#This Row],[SVm]]*HLOOKUP(Mammal_Chronic[[#This Row],[Crop]],Input_Scenario,8,FALSE),""),"")</f>
        <v/>
      </c>
      <c r="H157" s="368" t="str">
        <f t="shared" si="4"/>
        <v/>
      </c>
      <c r="I157" s="370" t="str">
        <f>IFERROR(IF(Active1=TRUE,HLOOKUP(Mammal_Chronic[[#This Row],[Crop]],Input_Scenario,11,FALSE)*HLOOKUP(Mammal_Chronic[[#This Row],[Crop]],Input_Scenario,8,FALSE)*Mammal_Chronic[[#This Row],[SVm]],""),"")</f>
        <v/>
      </c>
      <c r="J157" s="370" t="str">
        <f t="shared" ca="1" si="5"/>
        <v/>
      </c>
      <c r="K157" s="370" t="str">
        <f>IFERROR(IF(Active2=TRUE,HLOOKUP(Mammal_Chronic[[#This Row],[Crop]],Input_Scenario,12,FALSE)*HLOOKUP(Mammal_Chronic[[#This Row],[Crop]],Input_Scenario,8,FALSE)*Mammal_Chronic[[#This Row],[SVm]],""),"")</f>
        <v/>
      </c>
      <c r="L157" s="370" t="str">
        <f ca="1">IF($B$3&lt;&gt;"Passive",IFERROR(IF(ISNUMBER(INDEX(Active[M_NOAEL], 2)),
                          INDEX(Active[M_NOAEL], 2)/K157,""),""),"")</f>
        <v/>
      </c>
      <c r="M157" s="370" t="str">
        <f>IFERROR(IF(Active3=TRUE,HLOOKUP(Mammal_Chronic[[#This Row],[Crop]],Input_Scenario,13,FALSE)*HLOOKUP(Mammal_Chronic[[#This Row],[Crop]],Input_Scenario,8,FALSE)*Mammal_Chronic[[#This Row],[SVm]],""),"")</f>
        <v/>
      </c>
      <c r="N157" s="370" t="str">
        <f ca="1">IF($B$3&lt;&gt;"Passive",IFERROR(IF(ISNUMBER(INDEX(Active[M_NOAEL], 3)),
                          INDEX(Active[M_NOAEL], 3)/M157,""),""),"")</f>
        <v/>
      </c>
      <c r="O157" s="370" t="str">
        <f>IFERROR(IF(Active4=TRUE,HLOOKUP(Mammal_Chronic[[#This Row],[Crop]],Input_Scenario,14,FALSE)*HLOOKUP(Mammal_Chronic[[#This Row],[Crop]],Input_Scenario,8,FALSE)*Mammal_Chronic[[#This Row],[SVm]],""),"")</f>
        <v/>
      </c>
      <c r="P157" s="370" t="str">
        <f ca="1">IF($B$3&lt;&gt;"Passive",IFERROR(IF(ISNUMBER(INDEX(Active[M_NOAEL], 4)),
                          INDEX(Active[M_NOAEL], 4)/O157,""),""),"")</f>
        <v/>
      </c>
      <c r="Q157" s="370" t="str">
        <f>IFERROR(IF(Active5=TRUE,HLOOKUP(Mammal_Chronic[[#This Row],[Crop]],Input_Scenario,15,FALSE)*HLOOKUP(Mammal_Chronic[[#This Row],[Crop]],Input_Scenario,8,FALSE)*Mammal_Chronic[[#This Row],[SVm]],""),"")</f>
        <v/>
      </c>
      <c r="R157" s="370" t="str">
        <f ca="1">IF($B$3&lt;&gt;"Passive",IFERROR(IF(ISNUMBER(INDEX(Active[M_NOAEL], 5)),
                          INDEX(Active[M_NOAEL], 5)/Q157,""),""),"")</f>
        <v/>
      </c>
    </row>
    <row r="158" spans="1:18">
      <c r="A158" s="56"/>
      <c r="B158" s="314" t="str">
        <f t="shared" ca="1" si="3"/>
        <v>No input</v>
      </c>
      <c r="C158" s="72" t="s">
        <v>229</v>
      </c>
      <c r="D158" s="73" t="s">
        <v>109</v>
      </c>
      <c r="E158" s="73" t="s">
        <v>273</v>
      </c>
      <c r="F158" s="113">
        <v>18.100000000000001</v>
      </c>
      <c r="G158" s="203" t="str">
        <f ca="1">IF(AND(Mammal_Chronic[[#This Row],[Relevance]]="Input provided", Count&gt;=1),
       IF(M_ChronicScheme="C(mix)",
                 HLOOKUP(Mammal_Chronic[[#This Row],[Crop]], Input_Scenario,10,FALSE)*Mammal_Chronic[[#This Row],[SVm]]*HLOOKUP(Mammal_Chronic[[#This Row],[Crop]],Input_Scenario,8,FALSE),""),"")</f>
        <v/>
      </c>
      <c r="H158" s="368" t="str">
        <f t="shared" si="4"/>
        <v/>
      </c>
      <c r="I158" s="370" t="str">
        <f>IFERROR(IF(Active1=TRUE,HLOOKUP(Mammal_Chronic[[#This Row],[Crop]],Input_Scenario,11,FALSE)*HLOOKUP(Mammal_Chronic[[#This Row],[Crop]],Input_Scenario,8,FALSE)*Mammal_Chronic[[#This Row],[SVm]],""),"")</f>
        <v/>
      </c>
      <c r="J158" s="370" t="str">
        <f t="shared" ca="1" si="5"/>
        <v/>
      </c>
      <c r="K158" s="370" t="str">
        <f>IFERROR(IF(Active2=TRUE,HLOOKUP(Mammal_Chronic[[#This Row],[Crop]],Input_Scenario,12,FALSE)*HLOOKUP(Mammal_Chronic[[#This Row],[Crop]],Input_Scenario,8,FALSE)*Mammal_Chronic[[#This Row],[SVm]],""),"")</f>
        <v/>
      </c>
      <c r="L158" s="370" t="str">
        <f ca="1">IF($B$3&lt;&gt;"Passive",IFERROR(IF(ISNUMBER(INDEX(Active[M_NOAEL], 2)),
                          INDEX(Active[M_NOAEL], 2)/K158,""),""),"")</f>
        <v/>
      </c>
      <c r="M158" s="370" t="str">
        <f>IFERROR(IF(Active3=TRUE,HLOOKUP(Mammal_Chronic[[#This Row],[Crop]],Input_Scenario,13,FALSE)*HLOOKUP(Mammal_Chronic[[#This Row],[Crop]],Input_Scenario,8,FALSE)*Mammal_Chronic[[#This Row],[SVm]],""),"")</f>
        <v/>
      </c>
      <c r="N158" s="370" t="str">
        <f ca="1">IF($B$3&lt;&gt;"Passive",IFERROR(IF(ISNUMBER(INDEX(Active[M_NOAEL], 3)),
                          INDEX(Active[M_NOAEL], 3)/M158,""),""),"")</f>
        <v/>
      </c>
      <c r="O158" s="370" t="str">
        <f>IFERROR(IF(Active4=TRUE,HLOOKUP(Mammal_Chronic[[#This Row],[Crop]],Input_Scenario,14,FALSE)*HLOOKUP(Mammal_Chronic[[#This Row],[Crop]],Input_Scenario,8,FALSE)*Mammal_Chronic[[#This Row],[SVm]],""),"")</f>
        <v/>
      </c>
      <c r="P158" s="370" t="str">
        <f ca="1">IF($B$3&lt;&gt;"Passive",IFERROR(IF(ISNUMBER(INDEX(Active[M_NOAEL], 4)),
                          INDEX(Active[M_NOAEL], 4)/O158,""),""),"")</f>
        <v/>
      </c>
      <c r="Q158" s="370" t="str">
        <f>IFERROR(IF(Active5=TRUE,HLOOKUP(Mammal_Chronic[[#This Row],[Crop]],Input_Scenario,15,FALSE)*HLOOKUP(Mammal_Chronic[[#This Row],[Crop]],Input_Scenario,8,FALSE)*Mammal_Chronic[[#This Row],[SVm]],""),"")</f>
        <v/>
      </c>
      <c r="R158" s="370" t="str">
        <f ca="1">IF($B$3&lt;&gt;"Passive",IFERROR(IF(ISNUMBER(INDEX(Active[M_NOAEL], 5)),
                          INDEX(Active[M_NOAEL], 5)/Q158,""),""),"")</f>
        <v/>
      </c>
    </row>
    <row r="159" spans="1:18">
      <c r="A159" s="56"/>
      <c r="B159" s="314" t="str">
        <f t="shared" ca="1" si="3"/>
        <v>No input</v>
      </c>
      <c r="C159" s="72" t="s">
        <v>229</v>
      </c>
      <c r="D159" s="73" t="s">
        <v>109</v>
      </c>
      <c r="E159" s="73" t="s">
        <v>275</v>
      </c>
      <c r="F159" s="113">
        <v>3.6</v>
      </c>
      <c r="G159" s="203" t="str">
        <f ca="1">IF(AND(Mammal_Chronic[[#This Row],[Relevance]]="Input provided", Count&gt;=1),
       IF(M_ChronicScheme="C(mix)",
                 HLOOKUP(Mammal_Chronic[[#This Row],[Crop]], Input_Scenario,10,FALSE)*Mammal_Chronic[[#This Row],[SVm]]*HLOOKUP(Mammal_Chronic[[#This Row],[Crop]],Input_Scenario,8,FALSE),""),"")</f>
        <v/>
      </c>
      <c r="H159" s="368" t="str">
        <f t="shared" si="4"/>
        <v/>
      </c>
      <c r="I159" s="370" t="str">
        <f>IFERROR(IF(Active1=TRUE,HLOOKUP(Mammal_Chronic[[#This Row],[Crop]],Input_Scenario,11,FALSE)*HLOOKUP(Mammal_Chronic[[#This Row],[Crop]],Input_Scenario,8,FALSE)*Mammal_Chronic[[#This Row],[SVm]],""),"")</f>
        <v/>
      </c>
      <c r="J159" s="370" t="str">
        <f t="shared" ca="1" si="5"/>
        <v/>
      </c>
      <c r="K159" s="370" t="str">
        <f>IFERROR(IF(Active2=TRUE,HLOOKUP(Mammal_Chronic[[#This Row],[Crop]],Input_Scenario,12,FALSE)*HLOOKUP(Mammal_Chronic[[#This Row],[Crop]],Input_Scenario,8,FALSE)*Mammal_Chronic[[#This Row],[SVm]],""),"")</f>
        <v/>
      </c>
      <c r="L159" s="370" t="str">
        <f ca="1">IF($B$3&lt;&gt;"Passive",IFERROR(IF(ISNUMBER(INDEX(Active[M_NOAEL], 2)),
                          INDEX(Active[M_NOAEL], 2)/K159,""),""),"")</f>
        <v/>
      </c>
      <c r="M159" s="370" t="str">
        <f>IFERROR(IF(Active3=TRUE,HLOOKUP(Mammal_Chronic[[#This Row],[Crop]],Input_Scenario,13,FALSE)*HLOOKUP(Mammal_Chronic[[#This Row],[Crop]],Input_Scenario,8,FALSE)*Mammal_Chronic[[#This Row],[SVm]],""),"")</f>
        <v/>
      </c>
      <c r="N159" s="370" t="str">
        <f ca="1">IF($B$3&lt;&gt;"Passive",IFERROR(IF(ISNUMBER(INDEX(Active[M_NOAEL], 3)),
                          INDEX(Active[M_NOAEL], 3)/M159,""),""),"")</f>
        <v/>
      </c>
      <c r="O159" s="370" t="str">
        <f>IFERROR(IF(Active4=TRUE,HLOOKUP(Mammal_Chronic[[#This Row],[Crop]],Input_Scenario,14,FALSE)*HLOOKUP(Mammal_Chronic[[#This Row],[Crop]],Input_Scenario,8,FALSE)*Mammal_Chronic[[#This Row],[SVm]],""),"")</f>
        <v/>
      </c>
      <c r="P159" s="370" t="str">
        <f ca="1">IF($B$3&lt;&gt;"Passive",IFERROR(IF(ISNUMBER(INDEX(Active[M_NOAEL], 4)),
                          INDEX(Active[M_NOAEL], 4)/O159,""),""),"")</f>
        <v/>
      </c>
      <c r="Q159" s="370" t="str">
        <f>IFERROR(IF(Active5=TRUE,HLOOKUP(Mammal_Chronic[[#This Row],[Crop]],Input_Scenario,15,FALSE)*HLOOKUP(Mammal_Chronic[[#This Row],[Crop]],Input_Scenario,8,FALSE)*Mammal_Chronic[[#This Row],[SVm]],""),"")</f>
        <v/>
      </c>
      <c r="R159" s="370" t="str">
        <f ca="1">IF($B$3&lt;&gt;"Passive",IFERROR(IF(ISNUMBER(INDEX(Active[M_NOAEL], 5)),
                          INDEX(Active[M_NOAEL], 5)/Q159,""),""),"")</f>
        <v/>
      </c>
    </row>
    <row r="160" spans="1:18">
      <c r="A160" s="56"/>
      <c r="B160" s="314" t="str">
        <f t="shared" ref="B160:B223" ca="1" si="6">IF(AND($B$3="Active",ISNUMBER(I160)),"Input provided","No input")</f>
        <v>No input</v>
      </c>
      <c r="C160" s="72" t="s">
        <v>229</v>
      </c>
      <c r="D160" s="73" t="s">
        <v>109</v>
      </c>
      <c r="E160" s="73" t="s">
        <v>271</v>
      </c>
      <c r="F160" s="113">
        <v>1.9</v>
      </c>
      <c r="G160" s="203" t="str">
        <f ca="1">IF(AND(Mammal_Chronic[[#This Row],[Relevance]]="Input provided", Count&gt;=1),
       IF(M_ChronicScheme="C(mix)",
                 HLOOKUP(Mammal_Chronic[[#This Row],[Crop]], Input_Scenario,10,FALSE)*Mammal_Chronic[[#This Row],[SVm]]*HLOOKUP(Mammal_Chronic[[#This Row],[Crop]],Input_Scenario,8,FALSE),""),"")</f>
        <v/>
      </c>
      <c r="H160" s="368" t="str">
        <f t="shared" ref="H160:H223" si="7">IF(Count&gt;=1,
       IF(AND(M_ChronicScheme ="C(mix)", ISNUMBER(G160)), 5/(M_NOAEL_form/G160),
       IF(AND(M_ChronicScheme = "HIsum", Count &gt; 1),
            IF(ISNUMBER(J160), IF(ISNUMBER(J160), 5/J160, 0) + IF(ISNUMBER(L160), 5/L160, 0) + IF(ISNUMBER(N160), 5/N160, 0) + IF(ISNUMBER(P160), 5/P160, 0) + IF(ISNUMBER(R160), 5/R160, 0),""), "")),"")</f>
        <v/>
      </c>
      <c r="I160" s="370" t="str">
        <f>IFERROR(IF(Active1=TRUE,HLOOKUP(Mammal_Chronic[[#This Row],[Crop]],Input_Scenario,11,FALSE)*HLOOKUP(Mammal_Chronic[[#This Row],[Crop]],Input_Scenario,8,FALSE)*Mammal_Chronic[[#This Row],[SVm]],""),"")</f>
        <v/>
      </c>
      <c r="J160" s="370" t="str">
        <f t="shared" ca="1" si="5"/>
        <v/>
      </c>
      <c r="K160" s="370" t="str">
        <f>IFERROR(IF(Active2=TRUE,HLOOKUP(Mammal_Chronic[[#This Row],[Crop]],Input_Scenario,12,FALSE)*HLOOKUP(Mammal_Chronic[[#This Row],[Crop]],Input_Scenario,8,FALSE)*Mammal_Chronic[[#This Row],[SVm]],""),"")</f>
        <v/>
      </c>
      <c r="L160" s="370" t="str">
        <f ca="1">IF($B$3&lt;&gt;"Passive",IFERROR(IF(ISNUMBER(INDEX(Active[M_NOAEL], 2)),
                          INDEX(Active[M_NOAEL], 2)/K160,""),""),"")</f>
        <v/>
      </c>
      <c r="M160" s="370" t="str">
        <f>IFERROR(IF(Active3=TRUE,HLOOKUP(Mammal_Chronic[[#This Row],[Crop]],Input_Scenario,13,FALSE)*HLOOKUP(Mammal_Chronic[[#This Row],[Crop]],Input_Scenario,8,FALSE)*Mammal_Chronic[[#This Row],[SVm]],""),"")</f>
        <v/>
      </c>
      <c r="N160" s="370" t="str">
        <f ca="1">IF($B$3&lt;&gt;"Passive",IFERROR(IF(ISNUMBER(INDEX(Active[M_NOAEL], 3)),
                          INDEX(Active[M_NOAEL], 3)/M160,""),""),"")</f>
        <v/>
      </c>
      <c r="O160" s="370" t="str">
        <f>IFERROR(IF(Active4=TRUE,HLOOKUP(Mammal_Chronic[[#This Row],[Crop]],Input_Scenario,14,FALSE)*HLOOKUP(Mammal_Chronic[[#This Row],[Crop]],Input_Scenario,8,FALSE)*Mammal_Chronic[[#This Row],[SVm]],""),"")</f>
        <v/>
      </c>
      <c r="P160" s="370" t="str">
        <f ca="1">IF($B$3&lt;&gt;"Passive",IFERROR(IF(ISNUMBER(INDEX(Active[M_NOAEL], 4)),
                          INDEX(Active[M_NOAEL], 4)/O160,""),""),"")</f>
        <v/>
      </c>
      <c r="Q160" s="371" t="str">
        <f>IFERROR(IF(Active5=TRUE,HLOOKUP(Mammal_Chronic[[#This Row],[Crop]],Input_Scenario,15,FALSE)*HLOOKUP(Mammal_Chronic[[#This Row],[Crop]],Input_Scenario,8,FALSE)*Mammal_Chronic[[#This Row],[SVm]],""),"")</f>
        <v/>
      </c>
      <c r="R160" s="371" t="str">
        <f ca="1">IF($B$3&lt;&gt;"Passive",IFERROR(IF(ISNUMBER(INDEX(Active[M_NOAEL], 5)),
                          INDEX(Active[M_NOAEL], 5)/Q160,""),""),"")</f>
        <v/>
      </c>
    </row>
    <row r="161" spans="1:18">
      <c r="A161" s="56"/>
      <c r="B161" s="314" t="str">
        <f t="shared" ca="1" si="6"/>
        <v>No input</v>
      </c>
      <c r="C161" s="72" t="s">
        <v>187</v>
      </c>
      <c r="D161" s="73" t="s">
        <v>108</v>
      </c>
      <c r="E161" s="73" t="s">
        <v>272</v>
      </c>
      <c r="F161" s="113">
        <v>4.2</v>
      </c>
      <c r="G161" s="203" t="str">
        <f ca="1">IF(AND(Mammal_Chronic[[#This Row],[Relevance]]="Input provided", Count&gt;=1),
       IF(M_ChronicScheme="C(mix)",
                 HLOOKUP(Mammal_Chronic[[#This Row],[Crop]], Input_Scenario,10,FALSE)*Mammal_Chronic[[#This Row],[SVm]]*HLOOKUP(Mammal_Chronic[[#This Row],[Crop]],Input_Scenario,8,FALSE),""),"")</f>
        <v/>
      </c>
      <c r="H161" s="368" t="str">
        <f t="shared" si="7"/>
        <v/>
      </c>
      <c r="I161" s="370" t="str">
        <f>IFERROR(IF(Active1=TRUE,HLOOKUP(Mammal_Chronic[[#This Row],[Crop]],Input_Scenario,11,FALSE)*HLOOKUP(Mammal_Chronic[[#This Row],[Crop]],Input_Scenario,8,FALSE)*Mammal_Chronic[[#This Row],[SVm]],""),"")</f>
        <v/>
      </c>
      <c r="J161" s="370" t="str">
        <f t="shared" ref="J161:J224" ca="1" si="8">IF($B$3&lt;&gt;"Passive",IFERROR(IF(ISNUMBER($D$14),$D$14/I161,""),""),"")</f>
        <v/>
      </c>
      <c r="K161" s="370" t="str">
        <f>IFERROR(IF(Active2=TRUE,HLOOKUP(Mammal_Chronic[[#This Row],[Crop]],Input_Scenario,12,FALSE)*HLOOKUP(Mammal_Chronic[[#This Row],[Crop]],Input_Scenario,8,FALSE)*Mammal_Chronic[[#This Row],[SVm]],""),"")</f>
        <v/>
      </c>
      <c r="L161" s="370" t="str">
        <f ca="1">IF($B$3&lt;&gt;"Passive",IFERROR(IF(ISNUMBER(INDEX(Active[M_NOAEL], 2)),
                          INDEX(Active[M_NOAEL], 2)/K161,""),""),"")</f>
        <v/>
      </c>
      <c r="M161" s="370" t="str">
        <f>IFERROR(IF(Active3=TRUE,HLOOKUP(Mammal_Chronic[[#This Row],[Crop]],Input_Scenario,13,FALSE)*HLOOKUP(Mammal_Chronic[[#This Row],[Crop]],Input_Scenario,8,FALSE)*Mammal_Chronic[[#This Row],[SVm]],""),"")</f>
        <v/>
      </c>
      <c r="N161" s="370" t="str">
        <f ca="1">IF($B$3&lt;&gt;"Passive",IFERROR(IF(ISNUMBER(INDEX(Active[M_NOAEL], 3)),
                          INDEX(Active[M_NOAEL], 3)/M161,""),""),"")</f>
        <v/>
      </c>
      <c r="O161" s="370" t="str">
        <f>IFERROR(IF(Active4=TRUE,HLOOKUP(Mammal_Chronic[[#This Row],[Crop]],Input_Scenario,14,FALSE)*HLOOKUP(Mammal_Chronic[[#This Row],[Crop]],Input_Scenario,8,FALSE)*Mammal_Chronic[[#This Row],[SVm]],""),"")</f>
        <v/>
      </c>
      <c r="P161" s="370" t="str">
        <f ca="1">IF($B$3&lt;&gt;"Passive",IFERROR(IF(ISNUMBER(INDEX(Active[M_NOAEL], 4)),
                          INDEX(Active[M_NOAEL], 4)/O161,""),""),"")</f>
        <v/>
      </c>
      <c r="Q161" s="371" t="str">
        <f>IFERROR(IF(Active5=TRUE,HLOOKUP(Mammal_Chronic[[#This Row],[Crop]],Input_Scenario,15,FALSE)*HLOOKUP(Mammal_Chronic[[#This Row],[Crop]],Input_Scenario,8,FALSE)*Mammal_Chronic[[#This Row],[SVm]],""),"")</f>
        <v/>
      </c>
      <c r="R161" s="371" t="str">
        <f ca="1">IF($B$3&lt;&gt;"Passive",IFERROR(IF(ISNUMBER(INDEX(Active[M_NOAEL], 5)),
                          INDEX(Active[M_NOAEL], 5)/Q161,""),""),"")</f>
        <v/>
      </c>
    </row>
    <row r="162" spans="1:18">
      <c r="A162" s="56"/>
      <c r="B162" s="314" t="str">
        <f t="shared" ca="1" si="6"/>
        <v>No input</v>
      </c>
      <c r="C162" s="72" t="s">
        <v>187</v>
      </c>
      <c r="D162" s="73" t="s">
        <v>108</v>
      </c>
      <c r="E162" s="73" t="s">
        <v>275</v>
      </c>
      <c r="F162" s="113">
        <v>14.3</v>
      </c>
      <c r="G162" s="203" t="str">
        <f ca="1">IF(AND(Mammal_Chronic[[#This Row],[Relevance]]="Input provided", Count&gt;=1),
       IF(M_ChronicScheme="C(mix)",
                 HLOOKUP(Mammal_Chronic[[#This Row],[Crop]], Input_Scenario,10,FALSE)*Mammal_Chronic[[#This Row],[SVm]]*HLOOKUP(Mammal_Chronic[[#This Row],[Crop]],Input_Scenario,8,FALSE),""),"")</f>
        <v/>
      </c>
      <c r="H162" s="368" t="str">
        <f t="shared" si="7"/>
        <v/>
      </c>
      <c r="I162" s="370" t="str">
        <f>IFERROR(IF(Active1=TRUE,HLOOKUP(Mammal_Chronic[[#This Row],[Crop]],Input_Scenario,11,FALSE)*HLOOKUP(Mammal_Chronic[[#This Row],[Crop]],Input_Scenario,8,FALSE)*Mammal_Chronic[[#This Row],[SVm]],""),"")</f>
        <v/>
      </c>
      <c r="J162" s="370" t="str">
        <f t="shared" ca="1" si="8"/>
        <v/>
      </c>
      <c r="K162" s="370" t="str">
        <f>IFERROR(IF(Active2=TRUE,HLOOKUP(Mammal_Chronic[[#This Row],[Crop]],Input_Scenario,12,FALSE)*HLOOKUP(Mammal_Chronic[[#This Row],[Crop]],Input_Scenario,8,FALSE)*Mammal_Chronic[[#This Row],[SVm]],""),"")</f>
        <v/>
      </c>
      <c r="L162" s="370" t="str">
        <f ca="1">IF($B$3&lt;&gt;"Passive",IFERROR(IF(ISNUMBER(INDEX(Active[M_NOAEL], 2)),
                          INDEX(Active[M_NOAEL], 2)/K162,""),""),"")</f>
        <v/>
      </c>
      <c r="M162" s="370" t="str">
        <f>IFERROR(IF(Active3=TRUE,HLOOKUP(Mammal_Chronic[[#This Row],[Crop]],Input_Scenario,13,FALSE)*HLOOKUP(Mammal_Chronic[[#This Row],[Crop]],Input_Scenario,8,FALSE)*Mammal_Chronic[[#This Row],[SVm]],""),"")</f>
        <v/>
      </c>
      <c r="N162" s="370" t="str">
        <f ca="1">IF($B$3&lt;&gt;"Passive",IFERROR(IF(ISNUMBER(INDEX(Active[M_NOAEL], 3)),
                          INDEX(Active[M_NOAEL], 3)/M162,""),""),"")</f>
        <v/>
      </c>
      <c r="O162" s="370" t="str">
        <f>IFERROR(IF(Active4=TRUE,HLOOKUP(Mammal_Chronic[[#This Row],[Crop]],Input_Scenario,14,FALSE)*HLOOKUP(Mammal_Chronic[[#This Row],[Crop]],Input_Scenario,8,FALSE)*Mammal_Chronic[[#This Row],[SVm]],""),"")</f>
        <v/>
      </c>
      <c r="P162" s="370" t="str">
        <f ca="1">IF($B$3&lt;&gt;"Passive",IFERROR(IF(ISNUMBER(INDEX(Active[M_NOAEL], 4)),
                          INDEX(Active[M_NOAEL], 4)/O162,""),""),"")</f>
        <v/>
      </c>
      <c r="Q162" s="371" t="str">
        <f>IFERROR(IF(Active5=TRUE,HLOOKUP(Mammal_Chronic[[#This Row],[Crop]],Input_Scenario,15,FALSE)*HLOOKUP(Mammal_Chronic[[#This Row],[Crop]],Input_Scenario,8,FALSE)*Mammal_Chronic[[#This Row],[SVm]],""),"")</f>
        <v/>
      </c>
      <c r="R162" s="371" t="str">
        <f ca="1">IF($B$3&lt;&gt;"Passive",IFERROR(IF(ISNUMBER(INDEX(Active[M_NOAEL], 5)),
                          INDEX(Active[M_NOAEL], 5)/Q162,""),""),"")</f>
        <v/>
      </c>
    </row>
    <row r="163" spans="1:18">
      <c r="A163" s="56"/>
      <c r="B163" s="314" t="str">
        <f t="shared" ca="1" si="6"/>
        <v>No input</v>
      </c>
      <c r="C163" s="72" t="s">
        <v>187</v>
      </c>
      <c r="D163" s="73" t="s">
        <v>108</v>
      </c>
      <c r="E163" s="73" t="s">
        <v>271</v>
      </c>
      <c r="F163" s="113">
        <v>7.8</v>
      </c>
      <c r="G163" s="203" t="str">
        <f ca="1">IF(AND(Mammal_Chronic[[#This Row],[Relevance]]="Input provided", Count&gt;=1),
       IF(M_ChronicScheme="C(mix)",
                 HLOOKUP(Mammal_Chronic[[#This Row],[Crop]], Input_Scenario,10,FALSE)*Mammal_Chronic[[#This Row],[SVm]]*HLOOKUP(Mammal_Chronic[[#This Row],[Crop]],Input_Scenario,8,FALSE),""),"")</f>
        <v/>
      </c>
      <c r="H163" s="368" t="str">
        <f t="shared" si="7"/>
        <v/>
      </c>
      <c r="I163" s="370" t="str">
        <f>IFERROR(IF(Active1=TRUE,HLOOKUP(Mammal_Chronic[[#This Row],[Crop]],Input_Scenario,11,FALSE)*HLOOKUP(Mammal_Chronic[[#This Row],[Crop]],Input_Scenario,8,FALSE)*Mammal_Chronic[[#This Row],[SVm]],""),"")</f>
        <v/>
      </c>
      <c r="J163" s="370" t="str">
        <f t="shared" ca="1" si="8"/>
        <v/>
      </c>
      <c r="K163" s="370" t="str">
        <f>IFERROR(IF(Active2=TRUE,HLOOKUP(Mammal_Chronic[[#This Row],[Crop]],Input_Scenario,12,FALSE)*HLOOKUP(Mammal_Chronic[[#This Row],[Crop]],Input_Scenario,8,FALSE)*Mammal_Chronic[[#This Row],[SVm]],""),"")</f>
        <v/>
      </c>
      <c r="L163" s="370" t="str">
        <f ca="1">IF($B$3&lt;&gt;"Passive",IFERROR(IF(ISNUMBER(INDEX(Active[M_NOAEL], 2)),
                          INDEX(Active[M_NOAEL], 2)/K163,""),""),"")</f>
        <v/>
      </c>
      <c r="M163" s="370" t="str">
        <f>IFERROR(IF(Active3=TRUE,HLOOKUP(Mammal_Chronic[[#This Row],[Crop]],Input_Scenario,13,FALSE)*HLOOKUP(Mammal_Chronic[[#This Row],[Crop]],Input_Scenario,8,FALSE)*Mammal_Chronic[[#This Row],[SVm]],""),"")</f>
        <v/>
      </c>
      <c r="N163" s="370" t="str">
        <f ca="1">IF($B$3&lt;&gt;"Passive",IFERROR(IF(ISNUMBER(INDEX(Active[M_NOAEL], 3)),
                          INDEX(Active[M_NOAEL], 3)/M163,""),""),"")</f>
        <v/>
      </c>
      <c r="O163" s="370" t="str">
        <f>IFERROR(IF(Active4=TRUE,HLOOKUP(Mammal_Chronic[[#This Row],[Crop]],Input_Scenario,14,FALSE)*HLOOKUP(Mammal_Chronic[[#This Row],[Crop]],Input_Scenario,8,FALSE)*Mammal_Chronic[[#This Row],[SVm]],""),"")</f>
        <v/>
      </c>
      <c r="P163" s="370" t="str">
        <f ca="1">IF($B$3&lt;&gt;"Passive",IFERROR(IF(ISNUMBER(INDEX(Active[M_NOAEL], 4)),
                          INDEX(Active[M_NOAEL], 4)/O163,""),""),"")</f>
        <v/>
      </c>
      <c r="Q163" s="371" t="str">
        <f>IFERROR(IF(Active5=TRUE,HLOOKUP(Mammal_Chronic[[#This Row],[Crop]],Input_Scenario,15,FALSE)*HLOOKUP(Mammal_Chronic[[#This Row],[Crop]],Input_Scenario,8,FALSE)*Mammal_Chronic[[#This Row],[SVm]],""),"")</f>
        <v/>
      </c>
      <c r="R163" s="371" t="str">
        <f ca="1">IF($B$3&lt;&gt;"Passive",IFERROR(IF(ISNUMBER(INDEX(Active[M_NOAEL], 5)),
                          INDEX(Active[M_NOAEL], 5)/Q163,""),""),"")</f>
        <v/>
      </c>
    </row>
    <row r="164" spans="1:18">
      <c r="A164" s="56"/>
      <c r="B164" s="314" t="str">
        <f t="shared" ca="1" si="6"/>
        <v>No input</v>
      </c>
      <c r="C164" s="72" t="s">
        <v>187</v>
      </c>
      <c r="D164" s="73" t="s">
        <v>111</v>
      </c>
      <c r="E164" s="73" t="s">
        <v>280</v>
      </c>
      <c r="F164" s="113">
        <v>1.9</v>
      </c>
      <c r="G164" s="203" t="str">
        <f ca="1">IF(AND(Mammal_Chronic[[#This Row],[Relevance]]="Input provided", Count&gt;=1),
       IF(M_ChronicScheme="C(mix)",
                 HLOOKUP(Mammal_Chronic[[#This Row],[Crop]], Input_Scenario,10,FALSE)*Mammal_Chronic[[#This Row],[SVm]]*HLOOKUP(Mammal_Chronic[[#This Row],[Crop]],Input_Scenario,8,FALSE),""),"")</f>
        <v/>
      </c>
      <c r="H164" s="368" t="str">
        <f t="shared" si="7"/>
        <v/>
      </c>
      <c r="I164" s="370" t="str">
        <f>IFERROR(IF(Active1=TRUE,HLOOKUP(Mammal_Chronic[[#This Row],[Crop]],Input_Scenario,11,FALSE)*HLOOKUP(Mammal_Chronic[[#This Row],[Crop]],Input_Scenario,8,FALSE)*Mammal_Chronic[[#This Row],[SVm]],""),"")</f>
        <v/>
      </c>
      <c r="J164" s="370" t="str">
        <f t="shared" ca="1" si="8"/>
        <v/>
      </c>
      <c r="K164" s="370" t="str">
        <f>IFERROR(IF(Active2=TRUE,HLOOKUP(Mammal_Chronic[[#This Row],[Crop]],Input_Scenario,12,FALSE)*HLOOKUP(Mammal_Chronic[[#This Row],[Crop]],Input_Scenario,8,FALSE)*Mammal_Chronic[[#This Row],[SVm]],""),"")</f>
        <v/>
      </c>
      <c r="L164" s="370" t="str">
        <f ca="1">IF($B$3&lt;&gt;"Passive",IFERROR(IF(ISNUMBER(INDEX(Active[M_NOAEL], 2)),
                          INDEX(Active[M_NOAEL], 2)/K164,""),""),"")</f>
        <v/>
      </c>
      <c r="M164" s="370" t="str">
        <f>IFERROR(IF(Active3=TRUE,HLOOKUP(Mammal_Chronic[[#This Row],[Crop]],Input_Scenario,13,FALSE)*HLOOKUP(Mammal_Chronic[[#This Row],[Crop]],Input_Scenario,8,FALSE)*Mammal_Chronic[[#This Row],[SVm]],""),"")</f>
        <v/>
      </c>
      <c r="N164" s="370" t="str">
        <f ca="1">IF($B$3&lt;&gt;"Passive",IFERROR(IF(ISNUMBER(INDEX(Active[M_NOAEL], 3)),
                          INDEX(Active[M_NOAEL], 3)/M164,""),""),"")</f>
        <v/>
      </c>
      <c r="O164" s="370" t="str">
        <f>IFERROR(IF(Active4=TRUE,HLOOKUP(Mammal_Chronic[[#This Row],[Crop]],Input_Scenario,14,FALSE)*HLOOKUP(Mammal_Chronic[[#This Row],[Crop]],Input_Scenario,8,FALSE)*Mammal_Chronic[[#This Row],[SVm]],""),"")</f>
        <v/>
      </c>
      <c r="P164" s="370" t="str">
        <f ca="1">IF($B$3&lt;&gt;"Passive",IFERROR(IF(ISNUMBER(INDEX(Active[M_NOAEL], 4)),
                          INDEX(Active[M_NOAEL], 4)/O164,""),""),"")</f>
        <v/>
      </c>
      <c r="Q164" s="371" t="str">
        <f>IFERROR(IF(Active5=TRUE,HLOOKUP(Mammal_Chronic[[#This Row],[Crop]],Input_Scenario,15,FALSE)*HLOOKUP(Mammal_Chronic[[#This Row],[Crop]],Input_Scenario,8,FALSE)*Mammal_Chronic[[#This Row],[SVm]],""),"")</f>
        <v/>
      </c>
      <c r="R164" s="371" t="str">
        <f ca="1">IF($B$3&lt;&gt;"Passive",IFERROR(IF(ISNUMBER(INDEX(Active[M_NOAEL], 5)),
                          INDEX(Active[M_NOAEL], 5)/Q164,""),""),"")</f>
        <v/>
      </c>
    </row>
    <row r="165" spans="1:18">
      <c r="A165" s="56"/>
      <c r="B165" s="314" t="str">
        <f t="shared" ca="1" si="6"/>
        <v>No input</v>
      </c>
      <c r="C165" s="72" t="s">
        <v>187</v>
      </c>
      <c r="D165" s="73" t="s">
        <v>146</v>
      </c>
      <c r="E165" s="73" t="s">
        <v>275</v>
      </c>
      <c r="F165" s="113">
        <v>7.2</v>
      </c>
      <c r="G165" s="203" t="str">
        <f ca="1">IF(AND(Mammal_Chronic[[#This Row],[Relevance]]="Input provided", Count&gt;=1),
       IF(M_ChronicScheme="C(mix)",
                 HLOOKUP(Mammal_Chronic[[#This Row],[Crop]], Input_Scenario,10,FALSE)*Mammal_Chronic[[#This Row],[SVm]]*HLOOKUP(Mammal_Chronic[[#This Row],[Crop]],Input_Scenario,8,FALSE),""),"")</f>
        <v/>
      </c>
      <c r="H165" s="368" t="str">
        <f t="shared" si="7"/>
        <v/>
      </c>
      <c r="I165" s="370" t="str">
        <f>IFERROR(IF(Active1=TRUE,HLOOKUP(Mammal_Chronic[[#This Row],[Crop]],Input_Scenario,11,FALSE)*HLOOKUP(Mammal_Chronic[[#This Row],[Crop]],Input_Scenario,8,FALSE)*Mammal_Chronic[[#This Row],[SVm]],""),"")</f>
        <v/>
      </c>
      <c r="J165" s="370" t="str">
        <f t="shared" ca="1" si="8"/>
        <v/>
      </c>
      <c r="K165" s="370" t="str">
        <f>IFERROR(IF(Active2=TRUE,HLOOKUP(Mammal_Chronic[[#This Row],[Crop]],Input_Scenario,12,FALSE)*HLOOKUP(Mammal_Chronic[[#This Row],[Crop]],Input_Scenario,8,FALSE)*Mammal_Chronic[[#This Row],[SVm]],""),"")</f>
        <v/>
      </c>
      <c r="L165" s="370" t="str">
        <f ca="1">IF($B$3&lt;&gt;"Passive",IFERROR(IF(ISNUMBER(INDEX(Active[M_NOAEL], 2)),
                          INDEX(Active[M_NOAEL], 2)/K165,""),""),"")</f>
        <v/>
      </c>
      <c r="M165" s="370" t="str">
        <f>IFERROR(IF(Active3=TRUE,HLOOKUP(Mammal_Chronic[[#This Row],[Crop]],Input_Scenario,13,FALSE)*HLOOKUP(Mammal_Chronic[[#This Row],[Crop]],Input_Scenario,8,FALSE)*Mammal_Chronic[[#This Row],[SVm]],""),"")</f>
        <v/>
      </c>
      <c r="N165" s="370" t="str">
        <f ca="1">IF($B$3&lt;&gt;"Passive",IFERROR(IF(ISNUMBER(INDEX(Active[M_NOAEL], 3)),
                          INDEX(Active[M_NOAEL], 3)/M165,""),""),"")</f>
        <v/>
      </c>
      <c r="O165" s="370" t="str">
        <f>IFERROR(IF(Active4=TRUE,HLOOKUP(Mammal_Chronic[[#This Row],[Crop]],Input_Scenario,14,FALSE)*HLOOKUP(Mammal_Chronic[[#This Row],[Crop]],Input_Scenario,8,FALSE)*Mammal_Chronic[[#This Row],[SVm]],""),"")</f>
        <v/>
      </c>
      <c r="P165" s="370" t="str">
        <f ca="1">IF($B$3&lt;&gt;"Passive",IFERROR(IF(ISNUMBER(INDEX(Active[M_NOAEL], 4)),
                          INDEX(Active[M_NOAEL], 4)/O165,""),""),"")</f>
        <v/>
      </c>
      <c r="Q165" s="371" t="str">
        <f>IFERROR(IF(Active5=TRUE,HLOOKUP(Mammal_Chronic[[#This Row],[Crop]],Input_Scenario,15,FALSE)*HLOOKUP(Mammal_Chronic[[#This Row],[Crop]],Input_Scenario,8,FALSE)*Mammal_Chronic[[#This Row],[SVm]],""),"")</f>
        <v/>
      </c>
      <c r="R165" s="371" t="str">
        <f ca="1">IF($B$3&lt;&gt;"Passive",IFERROR(IF(ISNUMBER(INDEX(Active[M_NOAEL], 5)),
                          INDEX(Active[M_NOAEL], 5)/Q165,""),""),"")</f>
        <v/>
      </c>
    </row>
    <row r="166" spans="1:18">
      <c r="A166" s="56"/>
      <c r="B166" s="314" t="str">
        <f t="shared" ca="1" si="6"/>
        <v>No input</v>
      </c>
      <c r="C166" s="72" t="s">
        <v>187</v>
      </c>
      <c r="D166" s="73" t="s">
        <v>146</v>
      </c>
      <c r="E166" s="73" t="s">
        <v>271</v>
      </c>
      <c r="F166" s="113">
        <v>3.9</v>
      </c>
      <c r="G166" s="203" t="str">
        <f ca="1">IF(AND(Mammal_Chronic[[#This Row],[Relevance]]="Input provided", Count&gt;=1),
       IF(M_ChronicScheme="C(mix)",
                 HLOOKUP(Mammal_Chronic[[#This Row],[Crop]], Input_Scenario,10,FALSE)*Mammal_Chronic[[#This Row],[SVm]]*HLOOKUP(Mammal_Chronic[[#This Row],[Crop]],Input_Scenario,8,FALSE),""),"")</f>
        <v/>
      </c>
      <c r="H166" s="368" t="str">
        <f t="shared" si="7"/>
        <v/>
      </c>
      <c r="I166" s="370" t="str">
        <f>IFERROR(IF(Active1=TRUE,HLOOKUP(Mammal_Chronic[[#This Row],[Crop]],Input_Scenario,11,FALSE)*HLOOKUP(Mammal_Chronic[[#This Row],[Crop]],Input_Scenario,8,FALSE)*Mammal_Chronic[[#This Row],[SVm]],""),"")</f>
        <v/>
      </c>
      <c r="J166" s="370" t="str">
        <f t="shared" ca="1" si="8"/>
        <v/>
      </c>
      <c r="K166" s="370" t="str">
        <f>IFERROR(IF(Active2=TRUE,HLOOKUP(Mammal_Chronic[[#This Row],[Crop]],Input_Scenario,12,FALSE)*HLOOKUP(Mammal_Chronic[[#This Row],[Crop]],Input_Scenario,8,FALSE)*Mammal_Chronic[[#This Row],[SVm]],""),"")</f>
        <v/>
      </c>
      <c r="L166" s="370" t="str">
        <f ca="1">IF($B$3&lt;&gt;"Passive",IFERROR(IF(ISNUMBER(INDEX(Active[M_NOAEL], 2)),
                          INDEX(Active[M_NOAEL], 2)/K166,""),""),"")</f>
        <v/>
      </c>
      <c r="M166" s="370" t="str">
        <f>IFERROR(IF(Active3=TRUE,HLOOKUP(Mammal_Chronic[[#This Row],[Crop]],Input_Scenario,13,FALSE)*HLOOKUP(Mammal_Chronic[[#This Row],[Crop]],Input_Scenario,8,FALSE)*Mammal_Chronic[[#This Row],[SVm]],""),"")</f>
        <v/>
      </c>
      <c r="N166" s="370" t="str">
        <f ca="1">IF($B$3&lt;&gt;"Passive",IFERROR(IF(ISNUMBER(INDEX(Active[M_NOAEL], 3)),
                          INDEX(Active[M_NOAEL], 3)/M166,""),""),"")</f>
        <v/>
      </c>
      <c r="O166" s="370" t="str">
        <f>IFERROR(IF(Active4=TRUE,HLOOKUP(Mammal_Chronic[[#This Row],[Crop]],Input_Scenario,14,FALSE)*HLOOKUP(Mammal_Chronic[[#This Row],[Crop]],Input_Scenario,8,FALSE)*Mammal_Chronic[[#This Row],[SVm]],""),"")</f>
        <v/>
      </c>
      <c r="P166" s="370" t="str">
        <f ca="1">IF($B$3&lt;&gt;"Passive",IFERROR(IF(ISNUMBER(INDEX(Active[M_NOAEL], 4)),
                          INDEX(Active[M_NOAEL], 4)/O166,""),""),"")</f>
        <v/>
      </c>
      <c r="Q166" s="371" t="str">
        <f>IFERROR(IF(Active5=TRUE,HLOOKUP(Mammal_Chronic[[#This Row],[Crop]],Input_Scenario,15,FALSE)*HLOOKUP(Mammal_Chronic[[#This Row],[Crop]],Input_Scenario,8,FALSE)*Mammal_Chronic[[#This Row],[SVm]],""),"")</f>
        <v/>
      </c>
      <c r="R166" s="371" t="str">
        <f ca="1">IF($B$3&lt;&gt;"Passive",IFERROR(IF(ISNUMBER(INDEX(Active[M_NOAEL], 5)),
                          INDEX(Active[M_NOAEL], 5)/Q166,""),""),"")</f>
        <v/>
      </c>
    </row>
    <row r="167" spans="1:18">
      <c r="A167" s="56"/>
      <c r="B167" s="314" t="str">
        <f t="shared" ca="1" si="6"/>
        <v>No input</v>
      </c>
      <c r="C167" s="72" t="s">
        <v>187</v>
      </c>
      <c r="D167" s="73" t="s">
        <v>109</v>
      </c>
      <c r="E167" s="73" t="s">
        <v>273</v>
      </c>
      <c r="F167" s="113">
        <v>18.100000000000001</v>
      </c>
      <c r="G167" s="203" t="str">
        <f ca="1">IF(AND(Mammal_Chronic[[#This Row],[Relevance]]="Input provided", Count&gt;=1),
       IF(M_ChronicScheme="C(mix)",
                 HLOOKUP(Mammal_Chronic[[#This Row],[Crop]], Input_Scenario,10,FALSE)*Mammal_Chronic[[#This Row],[SVm]]*HLOOKUP(Mammal_Chronic[[#This Row],[Crop]],Input_Scenario,8,FALSE),""),"")</f>
        <v/>
      </c>
      <c r="H167" s="368" t="str">
        <f t="shared" si="7"/>
        <v/>
      </c>
      <c r="I167" s="370" t="str">
        <f>IFERROR(IF(Active1=TRUE,HLOOKUP(Mammal_Chronic[[#This Row],[Crop]],Input_Scenario,11,FALSE)*HLOOKUP(Mammal_Chronic[[#This Row],[Crop]],Input_Scenario,8,FALSE)*Mammal_Chronic[[#This Row],[SVm]],""),"")</f>
        <v/>
      </c>
      <c r="J167" s="370" t="str">
        <f t="shared" ca="1" si="8"/>
        <v/>
      </c>
      <c r="K167" s="370" t="str">
        <f>IFERROR(IF(Active2=TRUE,HLOOKUP(Mammal_Chronic[[#This Row],[Crop]],Input_Scenario,12,FALSE)*HLOOKUP(Mammal_Chronic[[#This Row],[Crop]],Input_Scenario,8,FALSE)*Mammal_Chronic[[#This Row],[SVm]],""),"")</f>
        <v/>
      </c>
      <c r="L167" s="370" t="str">
        <f ca="1">IF($B$3&lt;&gt;"Passive",IFERROR(IF(ISNUMBER(INDEX(Active[M_NOAEL], 2)),
                          INDEX(Active[M_NOAEL], 2)/K167,""),""),"")</f>
        <v/>
      </c>
      <c r="M167" s="370" t="str">
        <f>IFERROR(IF(Active3=TRUE,HLOOKUP(Mammal_Chronic[[#This Row],[Crop]],Input_Scenario,13,FALSE)*HLOOKUP(Mammal_Chronic[[#This Row],[Crop]],Input_Scenario,8,FALSE)*Mammal_Chronic[[#This Row],[SVm]],""),"")</f>
        <v/>
      </c>
      <c r="N167" s="370" t="str">
        <f ca="1">IF($B$3&lt;&gt;"Passive",IFERROR(IF(ISNUMBER(INDEX(Active[M_NOAEL], 3)),
                          INDEX(Active[M_NOAEL], 3)/M167,""),""),"")</f>
        <v/>
      </c>
      <c r="O167" s="370" t="str">
        <f>IFERROR(IF(Active4=TRUE,HLOOKUP(Mammal_Chronic[[#This Row],[Crop]],Input_Scenario,14,FALSE)*HLOOKUP(Mammal_Chronic[[#This Row],[Crop]],Input_Scenario,8,FALSE)*Mammal_Chronic[[#This Row],[SVm]],""),"")</f>
        <v/>
      </c>
      <c r="P167" s="370" t="str">
        <f ca="1">IF($B$3&lt;&gt;"Passive",IFERROR(IF(ISNUMBER(INDEX(Active[M_NOAEL], 4)),
                          INDEX(Active[M_NOAEL], 4)/O167,""),""),"")</f>
        <v/>
      </c>
      <c r="Q167" s="371" t="str">
        <f>IFERROR(IF(Active5=TRUE,HLOOKUP(Mammal_Chronic[[#This Row],[Crop]],Input_Scenario,15,FALSE)*HLOOKUP(Mammal_Chronic[[#This Row],[Crop]],Input_Scenario,8,FALSE)*Mammal_Chronic[[#This Row],[SVm]],""),"")</f>
        <v/>
      </c>
      <c r="R167" s="371" t="str">
        <f ca="1">IF($B$3&lt;&gt;"Passive",IFERROR(IF(ISNUMBER(INDEX(Active[M_NOAEL], 5)),
                          INDEX(Active[M_NOAEL], 5)/Q167,""),""),"")</f>
        <v/>
      </c>
    </row>
    <row r="168" spans="1:18">
      <c r="A168" s="56"/>
      <c r="B168" s="314" t="str">
        <f t="shared" ca="1" si="6"/>
        <v>No input</v>
      </c>
      <c r="C168" s="72" t="s">
        <v>187</v>
      </c>
      <c r="D168" s="73" t="s">
        <v>109</v>
      </c>
      <c r="E168" s="73" t="s">
        <v>275</v>
      </c>
      <c r="F168" s="113">
        <v>3.6</v>
      </c>
      <c r="G168" s="203" t="str">
        <f ca="1">IF(AND(Mammal_Chronic[[#This Row],[Relevance]]="Input provided", Count&gt;=1),
       IF(M_ChronicScheme="C(mix)",
                 HLOOKUP(Mammal_Chronic[[#This Row],[Crop]], Input_Scenario,10,FALSE)*Mammal_Chronic[[#This Row],[SVm]]*HLOOKUP(Mammal_Chronic[[#This Row],[Crop]],Input_Scenario,8,FALSE),""),"")</f>
        <v/>
      </c>
      <c r="H168" s="368" t="str">
        <f t="shared" si="7"/>
        <v/>
      </c>
      <c r="I168" s="370" t="str">
        <f>IFERROR(IF(Active1=TRUE,HLOOKUP(Mammal_Chronic[[#This Row],[Crop]],Input_Scenario,11,FALSE)*HLOOKUP(Mammal_Chronic[[#This Row],[Crop]],Input_Scenario,8,FALSE)*Mammal_Chronic[[#This Row],[SVm]],""),"")</f>
        <v/>
      </c>
      <c r="J168" s="370" t="str">
        <f t="shared" ca="1" si="8"/>
        <v/>
      </c>
      <c r="K168" s="370" t="str">
        <f>IFERROR(IF(Active2=TRUE,HLOOKUP(Mammal_Chronic[[#This Row],[Crop]],Input_Scenario,12,FALSE)*HLOOKUP(Mammal_Chronic[[#This Row],[Crop]],Input_Scenario,8,FALSE)*Mammal_Chronic[[#This Row],[SVm]],""),"")</f>
        <v/>
      </c>
      <c r="L168" s="370" t="str">
        <f ca="1">IF($B$3&lt;&gt;"Passive",IFERROR(IF(ISNUMBER(INDEX(Active[M_NOAEL], 2)),
                          INDEX(Active[M_NOAEL], 2)/K168,""),""),"")</f>
        <v/>
      </c>
      <c r="M168" s="370" t="str">
        <f>IFERROR(IF(Active3=TRUE,HLOOKUP(Mammal_Chronic[[#This Row],[Crop]],Input_Scenario,13,FALSE)*HLOOKUP(Mammal_Chronic[[#This Row],[Crop]],Input_Scenario,8,FALSE)*Mammal_Chronic[[#This Row],[SVm]],""),"")</f>
        <v/>
      </c>
      <c r="N168" s="370" t="str">
        <f ca="1">IF($B$3&lt;&gt;"Passive",IFERROR(IF(ISNUMBER(INDEX(Active[M_NOAEL], 3)),
                          INDEX(Active[M_NOAEL], 3)/M168,""),""),"")</f>
        <v/>
      </c>
      <c r="O168" s="370" t="str">
        <f>IFERROR(IF(Active4=TRUE,HLOOKUP(Mammal_Chronic[[#This Row],[Crop]],Input_Scenario,14,FALSE)*HLOOKUP(Mammal_Chronic[[#This Row],[Crop]],Input_Scenario,8,FALSE)*Mammal_Chronic[[#This Row],[SVm]],""),"")</f>
        <v/>
      </c>
      <c r="P168" s="370" t="str">
        <f ca="1">IF($B$3&lt;&gt;"Passive",IFERROR(IF(ISNUMBER(INDEX(Active[M_NOAEL], 4)),
                          INDEX(Active[M_NOAEL], 4)/O168,""),""),"")</f>
        <v/>
      </c>
      <c r="Q168" s="371" t="str">
        <f>IFERROR(IF(Active5=TRUE,HLOOKUP(Mammal_Chronic[[#This Row],[Crop]],Input_Scenario,15,FALSE)*HLOOKUP(Mammal_Chronic[[#This Row],[Crop]],Input_Scenario,8,FALSE)*Mammal_Chronic[[#This Row],[SVm]],""),"")</f>
        <v/>
      </c>
      <c r="R168" s="371" t="str">
        <f ca="1">IF($B$3&lt;&gt;"Passive",IFERROR(IF(ISNUMBER(INDEX(Active[M_NOAEL], 5)),
                          INDEX(Active[M_NOAEL], 5)/Q168,""),""),"")</f>
        <v/>
      </c>
    </row>
    <row r="169" spans="1:18">
      <c r="A169" s="56"/>
      <c r="B169" s="314" t="str">
        <f t="shared" ca="1" si="6"/>
        <v>No input</v>
      </c>
      <c r="C169" s="72" t="s">
        <v>187</v>
      </c>
      <c r="D169" s="73" t="s">
        <v>109</v>
      </c>
      <c r="E169" s="73" t="s">
        <v>271</v>
      </c>
      <c r="F169" s="113">
        <v>1.9</v>
      </c>
      <c r="G169" s="203" t="str">
        <f ca="1">IF(AND(Mammal_Chronic[[#This Row],[Relevance]]="Input provided", Count&gt;=1),
       IF(M_ChronicScheme="C(mix)",
                 HLOOKUP(Mammal_Chronic[[#This Row],[Crop]], Input_Scenario,10,FALSE)*Mammal_Chronic[[#This Row],[SVm]]*HLOOKUP(Mammal_Chronic[[#This Row],[Crop]],Input_Scenario,8,FALSE),""),"")</f>
        <v/>
      </c>
      <c r="H169" s="368" t="str">
        <f t="shared" si="7"/>
        <v/>
      </c>
      <c r="I169" s="370" t="str">
        <f>IFERROR(IF(Active1=TRUE,HLOOKUP(Mammal_Chronic[[#This Row],[Crop]],Input_Scenario,11,FALSE)*HLOOKUP(Mammal_Chronic[[#This Row],[Crop]],Input_Scenario,8,FALSE)*Mammal_Chronic[[#This Row],[SVm]],""),"")</f>
        <v/>
      </c>
      <c r="J169" s="370" t="str">
        <f t="shared" ca="1" si="8"/>
        <v/>
      </c>
      <c r="K169" s="370" t="str">
        <f>IFERROR(IF(Active2=TRUE,HLOOKUP(Mammal_Chronic[[#This Row],[Crop]],Input_Scenario,12,FALSE)*HLOOKUP(Mammal_Chronic[[#This Row],[Crop]],Input_Scenario,8,FALSE)*Mammal_Chronic[[#This Row],[SVm]],""),"")</f>
        <v/>
      </c>
      <c r="L169" s="370" t="str">
        <f ca="1">IF($B$3&lt;&gt;"Passive",IFERROR(IF(ISNUMBER(INDEX(Active[M_NOAEL], 2)),
                          INDEX(Active[M_NOAEL], 2)/K169,""),""),"")</f>
        <v/>
      </c>
      <c r="M169" s="370" t="str">
        <f>IFERROR(IF(Active3=TRUE,HLOOKUP(Mammal_Chronic[[#This Row],[Crop]],Input_Scenario,13,FALSE)*HLOOKUP(Mammal_Chronic[[#This Row],[Crop]],Input_Scenario,8,FALSE)*Mammal_Chronic[[#This Row],[SVm]],""),"")</f>
        <v/>
      </c>
      <c r="N169" s="370" t="str">
        <f ca="1">IF($B$3&lt;&gt;"Passive",IFERROR(IF(ISNUMBER(INDEX(Active[M_NOAEL], 3)),
                          INDEX(Active[M_NOAEL], 3)/M169,""),""),"")</f>
        <v/>
      </c>
      <c r="O169" s="370" t="str">
        <f>IFERROR(IF(Active4=TRUE,HLOOKUP(Mammal_Chronic[[#This Row],[Crop]],Input_Scenario,14,FALSE)*HLOOKUP(Mammal_Chronic[[#This Row],[Crop]],Input_Scenario,8,FALSE)*Mammal_Chronic[[#This Row],[SVm]],""),"")</f>
        <v/>
      </c>
      <c r="P169" s="370" t="str">
        <f ca="1">IF($B$3&lt;&gt;"Passive",IFERROR(IF(ISNUMBER(INDEX(Active[M_NOAEL], 4)),
                          INDEX(Active[M_NOAEL], 4)/O169,""),""),"")</f>
        <v/>
      </c>
      <c r="Q169" s="371" t="str">
        <f>IFERROR(IF(Active5=TRUE,HLOOKUP(Mammal_Chronic[[#This Row],[Crop]],Input_Scenario,15,FALSE)*HLOOKUP(Mammal_Chronic[[#This Row],[Crop]],Input_Scenario,8,FALSE)*Mammal_Chronic[[#This Row],[SVm]],""),"")</f>
        <v/>
      </c>
      <c r="R169" s="371" t="str">
        <f ca="1">IF($B$3&lt;&gt;"Passive",IFERROR(IF(ISNUMBER(INDEX(Active[M_NOAEL], 5)),
                          INDEX(Active[M_NOAEL], 5)/Q169,""),""),"")</f>
        <v/>
      </c>
    </row>
    <row r="170" spans="1:18">
      <c r="A170" s="56"/>
      <c r="B170" s="314" t="str">
        <f t="shared" ca="1" si="6"/>
        <v>No input</v>
      </c>
      <c r="C170" s="72" t="s">
        <v>191</v>
      </c>
      <c r="D170" s="73" t="s">
        <v>267</v>
      </c>
      <c r="E170" s="73" t="s">
        <v>273</v>
      </c>
      <c r="F170" s="113">
        <v>72.3</v>
      </c>
      <c r="G170" s="203" t="str">
        <f ca="1">IF(AND(Mammal_Chronic[[#This Row],[Relevance]]="Input provided", Count&gt;=1),
       IF(M_ChronicScheme="C(mix)",
                 HLOOKUP(Mammal_Chronic[[#This Row],[Crop]], Input_Scenario,10,FALSE)*Mammal_Chronic[[#This Row],[SVm]]*HLOOKUP(Mammal_Chronic[[#This Row],[Crop]],Input_Scenario,8,FALSE),""),"")</f>
        <v/>
      </c>
      <c r="H170" s="368" t="str">
        <f t="shared" si="7"/>
        <v/>
      </c>
      <c r="I170" s="370" t="str">
        <f>IFERROR(IF(Active1=TRUE,HLOOKUP(Mammal_Chronic[[#This Row],[Crop]],Input_Scenario,11,FALSE)*HLOOKUP(Mammal_Chronic[[#This Row],[Crop]],Input_Scenario,8,FALSE)*Mammal_Chronic[[#This Row],[SVm]],""),"")</f>
        <v/>
      </c>
      <c r="J170" s="370" t="str">
        <f t="shared" ca="1" si="8"/>
        <v/>
      </c>
      <c r="K170" s="370" t="str">
        <f>IFERROR(IF(Active2=TRUE,HLOOKUP(Mammal_Chronic[[#This Row],[Crop]],Input_Scenario,12,FALSE)*HLOOKUP(Mammal_Chronic[[#This Row],[Crop]],Input_Scenario,8,FALSE)*Mammal_Chronic[[#This Row],[SVm]],""),"")</f>
        <v/>
      </c>
      <c r="L170" s="370" t="str">
        <f ca="1">IF($B$3&lt;&gt;"Passive",IFERROR(IF(ISNUMBER(INDEX(Active[M_NOAEL], 2)),
                          INDEX(Active[M_NOAEL], 2)/K170,""),""),"")</f>
        <v/>
      </c>
      <c r="M170" s="370" t="str">
        <f>IFERROR(IF(Active3=TRUE,HLOOKUP(Mammal_Chronic[[#This Row],[Crop]],Input_Scenario,13,FALSE)*HLOOKUP(Mammal_Chronic[[#This Row],[Crop]],Input_Scenario,8,FALSE)*Mammal_Chronic[[#This Row],[SVm]],""),"")</f>
        <v/>
      </c>
      <c r="N170" s="370" t="str">
        <f ca="1">IF($B$3&lt;&gt;"Passive",IFERROR(IF(ISNUMBER(INDEX(Active[M_NOAEL], 3)),
                          INDEX(Active[M_NOAEL], 3)/M170,""),""),"")</f>
        <v/>
      </c>
      <c r="O170" s="370" t="str">
        <f>IFERROR(IF(Active4=TRUE,HLOOKUP(Mammal_Chronic[[#This Row],[Crop]],Input_Scenario,14,FALSE)*HLOOKUP(Mammal_Chronic[[#This Row],[Crop]],Input_Scenario,8,FALSE)*Mammal_Chronic[[#This Row],[SVm]],""),"")</f>
        <v/>
      </c>
      <c r="P170" s="370" t="str">
        <f ca="1">IF($B$3&lt;&gt;"Passive",IFERROR(IF(ISNUMBER(INDEX(Active[M_NOAEL], 4)),
                          INDEX(Active[M_NOAEL], 4)/O170,""),""),"")</f>
        <v/>
      </c>
      <c r="Q170" s="371" t="str">
        <f>IFERROR(IF(Active5=TRUE,HLOOKUP(Mammal_Chronic[[#This Row],[Crop]],Input_Scenario,15,FALSE)*HLOOKUP(Mammal_Chronic[[#This Row],[Crop]],Input_Scenario,8,FALSE)*Mammal_Chronic[[#This Row],[SVm]],""),"")</f>
        <v/>
      </c>
      <c r="R170" s="371" t="str">
        <f ca="1">IF($B$3&lt;&gt;"Passive",IFERROR(IF(ISNUMBER(INDEX(Active[M_NOAEL], 5)),
                          INDEX(Active[M_NOAEL], 5)/Q170,""),""),"")</f>
        <v/>
      </c>
    </row>
    <row r="171" spans="1:18">
      <c r="A171" s="56"/>
      <c r="B171" s="314" t="str">
        <f t="shared" ca="1" si="6"/>
        <v>No input</v>
      </c>
      <c r="C171" s="72" t="s">
        <v>191</v>
      </c>
      <c r="D171" s="73" t="s">
        <v>267</v>
      </c>
      <c r="E171" s="73" t="s">
        <v>271</v>
      </c>
      <c r="F171" s="113">
        <v>7.8</v>
      </c>
      <c r="G171" s="203" t="str">
        <f ca="1">IF(AND(Mammal_Chronic[[#This Row],[Relevance]]="Input provided", Count&gt;=1),
       IF(M_ChronicScheme="C(mix)",
                 HLOOKUP(Mammal_Chronic[[#This Row],[Crop]], Input_Scenario,10,FALSE)*Mammal_Chronic[[#This Row],[SVm]]*HLOOKUP(Mammal_Chronic[[#This Row],[Crop]],Input_Scenario,8,FALSE),""),"")</f>
        <v/>
      </c>
      <c r="H171" s="368" t="str">
        <f t="shared" si="7"/>
        <v/>
      </c>
      <c r="I171" s="370" t="str">
        <f>IFERROR(IF(Active1=TRUE,HLOOKUP(Mammal_Chronic[[#This Row],[Crop]],Input_Scenario,11,FALSE)*HLOOKUP(Mammal_Chronic[[#This Row],[Crop]],Input_Scenario,8,FALSE)*Mammal_Chronic[[#This Row],[SVm]],""),"")</f>
        <v/>
      </c>
      <c r="J171" s="370" t="str">
        <f t="shared" ca="1" si="8"/>
        <v/>
      </c>
      <c r="K171" s="370" t="str">
        <f>IFERROR(IF(Active2=TRUE,HLOOKUP(Mammal_Chronic[[#This Row],[Crop]],Input_Scenario,12,FALSE)*HLOOKUP(Mammal_Chronic[[#This Row],[Crop]],Input_Scenario,8,FALSE)*Mammal_Chronic[[#This Row],[SVm]],""),"")</f>
        <v/>
      </c>
      <c r="L171" s="370" t="str">
        <f ca="1">IF($B$3&lt;&gt;"Passive",IFERROR(IF(ISNUMBER(INDEX(Active[M_NOAEL], 2)),
                          INDEX(Active[M_NOAEL], 2)/K171,""),""),"")</f>
        <v/>
      </c>
      <c r="M171" s="370" t="str">
        <f>IFERROR(IF(Active3=TRUE,HLOOKUP(Mammal_Chronic[[#This Row],[Crop]],Input_Scenario,13,FALSE)*HLOOKUP(Mammal_Chronic[[#This Row],[Crop]],Input_Scenario,8,FALSE)*Mammal_Chronic[[#This Row],[SVm]],""),"")</f>
        <v/>
      </c>
      <c r="N171" s="370" t="str">
        <f ca="1">IF($B$3&lt;&gt;"Passive",IFERROR(IF(ISNUMBER(INDEX(Active[M_NOAEL], 3)),
                          INDEX(Active[M_NOAEL], 3)/M171,""),""),"")</f>
        <v/>
      </c>
      <c r="O171" s="370" t="str">
        <f>IFERROR(IF(Active4=TRUE,HLOOKUP(Mammal_Chronic[[#This Row],[Crop]],Input_Scenario,14,FALSE)*HLOOKUP(Mammal_Chronic[[#This Row],[Crop]],Input_Scenario,8,FALSE)*Mammal_Chronic[[#This Row],[SVm]],""),"")</f>
        <v/>
      </c>
      <c r="P171" s="370" t="str">
        <f ca="1">IF($B$3&lt;&gt;"Passive",IFERROR(IF(ISNUMBER(INDEX(Active[M_NOAEL], 4)),
                          INDEX(Active[M_NOAEL], 4)/O171,""),""),"")</f>
        <v/>
      </c>
      <c r="Q171" s="371" t="str">
        <f>IFERROR(IF(Active5=TRUE,HLOOKUP(Mammal_Chronic[[#This Row],[Crop]],Input_Scenario,15,FALSE)*HLOOKUP(Mammal_Chronic[[#This Row],[Crop]],Input_Scenario,8,FALSE)*Mammal_Chronic[[#This Row],[SVm]],""),"")</f>
        <v/>
      </c>
      <c r="R171" s="371" t="str">
        <f ca="1">IF($B$3&lt;&gt;"Passive",IFERROR(IF(ISNUMBER(INDEX(Active[M_NOAEL], 5)),
                          INDEX(Active[M_NOAEL], 5)/Q171,""),""),"")</f>
        <v/>
      </c>
    </row>
    <row r="172" spans="1:18">
      <c r="A172" s="56"/>
      <c r="B172" s="314" t="str">
        <f t="shared" ca="1" si="6"/>
        <v>No input</v>
      </c>
      <c r="C172" s="72" t="s">
        <v>191</v>
      </c>
      <c r="D172" s="73" t="s">
        <v>258</v>
      </c>
      <c r="E172" s="73" t="s">
        <v>273</v>
      </c>
      <c r="F172" s="113">
        <v>43.4</v>
      </c>
      <c r="G172" s="203" t="str">
        <f ca="1">IF(AND(Mammal_Chronic[[#This Row],[Relevance]]="Input provided", Count&gt;=1),
       IF(M_ChronicScheme="C(mix)",
                 HLOOKUP(Mammal_Chronic[[#This Row],[Crop]], Input_Scenario,10,FALSE)*Mammal_Chronic[[#This Row],[SVm]]*HLOOKUP(Mammal_Chronic[[#This Row],[Crop]],Input_Scenario,8,FALSE),""),"")</f>
        <v/>
      </c>
      <c r="H172" s="368" t="str">
        <f t="shared" si="7"/>
        <v/>
      </c>
      <c r="I172" s="370" t="str">
        <f>IFERROR(IF(Active1=TRUE,HLOOKUP(Mammal_Chronic[[#This Row],[Crop]],Input_Scenario,11,FALSE)*HLOOKUP(Mammal_Chronic[[#This Row],[Crop]],Input_Scenario,8,FALSE)*Mammal_Chronic[[#This Row],[SVm]],""),"")</f>
        <v/>
      </c>
      <c r="J172" s="370" t="str">
        <f t="shared" ca="1" si="8"/>
        <v/>
      </c>
      <c r="K172" s="370" t="str">
        <f>IFERROR(IF(Active2=TRUE,HLOOKUP(Mammal_Chronic[[#This Row],[Crop]],Input_Scenario,12,FALSE)*HLOOKUP(Mammal_Chronic[[#This Row],[Crop]],Input_Scenario,8,FALSE)*Mammal_Chronic[[#This Row],[SVm]],""),"")</f>
        <v/>
      </c>
      <c r="L172" s="370" t="str">
        <f ca="1">IF($B$3&lt;&gt;"Passive",IFERROR(IF(ISNUMBER(INDEX(Active[M_NOAEL], 2)),
                          INDEX(Active[M_NOAEL], 2)/K172,""),""),"")</f>
        <v/>
      </c>
      <c r="M172" s="370" t="str">
        <f>IFERROR(IF(Active3=TRUE,HLOOKUP(Mammal_Chronic[[#This Row],[Crop]],Input_Scenario,13,FALSE)*HLOOKUP(Mammal_Chronic[[#This Row],[Crop]],Input_Scenario,8,FALSE)*Mammal_Chronic[[#This Row],[SVm]],""),"")</f>
        <v/>
      </c>
      <c r="N172" s="370" t="str">
        <f ca="1">IF($B$3&lt;&gt;"Passive",IFERROR(IF(ISNUMBER(INDEX(Active[M_NOAEL], 3)),
                          INDEX(Active[M_NOAEL], 3)/M172,""),""),"")</f>
        <v/>
      </c>
      <c r="O172" s="370" t="str">
        <f>IFERROR(IF(Active4=TRUE,HLOOKUP(Mammal_Chronic[[#This Row],[Crop]],Input_Scenario,14,FALSE)*HLOOKUP(Mammal_Chronic[[#This Row],[Crop]],Input_Scenario,8,FALSE)*Mammal_Chronic[[#This Row],[SVm]],""),"")</f>
        <v/>
      </c>
      <c r="P172" s="370" t="str">
        <f ca="1">IF($B$3&lt;&gt;"Passive",IFERROR(IF(ISNUMBER(INDEX(Active[M_NOAEL], 4)),
                          INDEX(Active[M_NOAEL], 4)/O172,""),""),"")</f>
        <v/>
      </c>
      <c r="Q172" s="371" t="str">
        <f>IFERROR(IF(Active5=TRUE,HLOOKUP(Mammal_Chronic[[#This Row],[Crop]],Input_Scenario,15,FALSE)*HLOOKUP(Mammal_Chronic[[#This Row],[Crop]],Input_Scenario,8,FALSE)*Mammal_Chronic[[#This Row],[SVm]],""),"")</f>
        <v/>
      </c>
      <c r="R172" s="371" t="str">
        <f ca="1">IF($B$3&lt;&gt;"Passive",IFERROR(IF(ISNUMBER(INDEX(Active[M_NOAEL], 5)),
                          INDEX(Active[M_NOAEL], 5)/Q172,""),""),"")</f>
        <v/>
      </c>
    </row>
    <row r="173" spans="1:18">
      <c r="A173" s="56"/>
      <c r="B173" s="314" t="str">
        <f t="shared" ca="1" si="6"/>
        <v>No input</v>
      </c>
      <c r="C173" s="72" t="s">
        <v>191</v>
      </c>
      <c r="D173" s="73" t="s">
        <v>258</v>
      </c>
      <c r="E173" s="73" t="s">
        <v>271</v>
      </c>
      <c r="F173" s="113">
        <v>4.7</v>
      </c>
      <c r="G173" s="203" t="str">
        <f ca="1">IF(AND(Mammal_Chronic[[#This Row],[Relevance]]="Input provided", Count&gt;=1),
       IF(M_ChronicScheme="C(mix)",
                 HLOOKUP(Mammal_Chronic[[#This Row],[Crop]], Input_Scenario,10,FALSE)*Mammal_Chronic[[#This Row],[SVm]]*HLOOKUP(Mammal_Chronic[[#This Row],[Crop]],Input_Scenario,8,FALSE),""),"")</f>
        <v/>
      </c>
      <c r="H173" s="368" t="str">
        <f t="shared" si="7"/>
        <v/>
      </c>
      <c r="I173" s="370" t="str">
        <f>IFERROR(IF(Active1=TRUE,HLOOKUP(Mammal_Chronic[[#This Row],[Crop]],Input_Scenario,11,FALSE)*HLOOKUP(Mammal_Chronic[[#This Row],[Crop]],Input_Scenario,8,FALSE)*Mammal_Chronic[[#This Row],[SVm]],""),"")</f>
        <v/>
      </c>
      <c r="J173" s="370" t="str">
        <f t="shared" ca="1" si="8"/>
        <v/>
      </c>
      <c r="K173" s="370" t="str">
        <f>IFERROR(IF(Active2=TRUE,HLOOKUP(Mammal_Chronic[[#This Row],[Crop]],Input_Scenario,12,FALSE)*HLOOKUP(Mammal_Chronic[[#This Row],[Crop]],Input_Scenario,8,FALSE)*Mammal_Chronic[[#This Row],[SVm]],""),"")</f>
        <v/>
      </c>
      <c r="L173" s="370" t="str">
        <f ca="1">IF($B$3&lt;&gt;"Passive",IFERROR(IF(ISNUMBER(INDEX(Active[M_NOAEL], 2)),
                          INDEX(Active[M_NOAEL], 2)/K173,""),""),"")</f>
        <v/>
      </c>
      <c r="M173" s="370" t="str">
        <f>IFERROR(IF(Active3=TRUE,HLOOKUP(Mammal_Chronic[[#This Row],[Crop]],Input_Scenario,13,FALSE)*HLOOKUP(Mammal_Chronic[[#This Row],[Crop]],Input_Scenario,8,FALSE)*Mammal_Chronic[[#This Row],[SVm]],""),"")</f>
        <v/>
      </c>
      <c r="N173" s="370" t="str">
        <f ca="1">IF($B$3&lt;&gt;"Passive",IFERROR(IF(ISNUMBER(INDEX(Active[M_NOAEL], 3)),
                          INDEX(Active[M_NOAEL], 3)/M173,""),""),"")</f>
        <v/>
      </c>
      <c r="O173" s="370" t="str">
        <f>IFERROR(IF(Active4=TRUE,HLOOKUP(Mammal_Chronic[[#This Row],[Crop]],Input_Scenario,14,FALSE)*HLOOKUP(Mammal_Chronic[[#This Row],[Crop]],Input_Scenario,8,FALSE)*Mammal_Chronic[[#This Row],[SVm]],""),"")</f>
        <v/>
      </c>
      <c r="P173" s="370" t="str">
        <f ca="1">IF($B$3&lt;&gt;"Passive",IFERROR(IF(ISNUMBER(INDEX(Active[M_NOAEL], 4)),
                          INDEX(Active[M_NOAEL], 4)/O173,""),""),"")</f>
        <v/>
      </c>
      <c r="Q173" s="371" t="str">
        <f>IFERROR(IF(Active5=TRUE,HLOOKUP(Mammal_Chronic[[#This Row],[Crop]],Input_Scenario,15,FALSE)*HLOOKUP(Mammal_Chronic[[#This Row],[Crop]],Input_Scenario,8,FALSE)*Mammal_Chronic[[#This Row],[SVm]],""),"")</f>
        <v/>
      </c>
      <c r="R173" s="371" t="str">
        <f ca="1">IF($B$3&lt;&gt;"Passive",IFERROR(IF(ISNUMBER(INDEX(Active[M_NOAEL], 5)),
                          INDEX(Active[M_NOAEL], 5)/Q173,""),""),"")</f>
        <v/>
      </c>
    </row>
    <row r="174" spans="1:18">
      <c r="A174" s="56"/>
      <c r="B174" s="314" t="str">
        <f t="shared" ca="1" si="6"/>
        <v>No input</v>
      </c>
      <c r="C174" s="72" t="s">
        <v>191</v>
      </c>
      <c r="D174" s="73" t="s">
        <v>172</v>
      </c>
      <c r="E174" s="73" t="s">
        <v>273</v>
      </c>
      <c r="F174" s="113">
        <v>36.1</v>
      </c>
      <c r="G174" s="203" t="str">
        <f ca="1">IF(AND(Mammal_Chronic[[#This Row],[Relevance]]="Input provided", Count&gt;=1),
       IF(M_ChronicScheme="C(mix)",
                 HLOOKUP(Mammal_Chronic[[#This Row],[Crop]], Input_Scenario,10,FALSE)*Mammal_Chronic[[#This Row],[SVm]]*HLOOKUP(Mammal_Chronic[[#This Row],[Crop]],Input_Scenario,8,FALSE),""),"")</f>
        <v/>
      </c>
      <c r="H174" s="368" t="str">
        <f t="shared" si="7"/>
        <v/>
      </c>
      <c r="I174" s="370" t="str">
        <f>IFERROR(IF(Active1=TRUE,HLOOKUP(Mammal_Chronic[[#This Row],[Crop]],Input_Scenario,11,FALSE)*HLOOKUP(Mammal_Chronic[[#This Row],[Crop]],Input_Scenario,8,FALSE)*Mammal_Chronic[[#This Row],[SVm]],""),"")</f>
        <v/>
      </c>
      <c r="J174" s="370" t="str">
        <f t="shared" ca="1" si="8"/>
        <v/>
      </c>
      <c r="K174" s="370" t="str">
        <f>IFERROR(IF(Active2=TRUE,HLOOKUP(Mammal_Chronic[[#This Row],[Crop]],Input_Scenario,12,FALSE)*HLOOKUP(Mammal_Chronic[[#This Row],[Crop]],Input_Scenario,8,FALSE)*Mammal_Chronic[[#This Row],[SVm]],""),"")</f>
        <v/>
      </c>
      <c r="L174" s="370" t="str">
        <f ca="1">IF($B$3&lt;&gt;"Passive",IFERROR(IF(ISNUMBER(INDEX(Active[M_NOAEL], 2)),
                          INDEX(Active[M_NOAEL], 2)/K174,""),""),"")</f>
        <v/>
      </c>
      <c r="M174" s="370" t="str">
        <f>IFERROR(IF(Active3=TRUE,HLOOKUP(Mammal_Chronic[[#This Row],[Crop]],Input_Scenario,13,FALSE)*HLOOKUP(Mammal_Chronic[[#This Row],[Crop]],Input_Scenario,8,FALSE)*Mammal_Chronic[[#This Row],[SVm]],""),"")</f>
        <v/>
      </c>
      <c r="N174" s="370" t="str">
        <f ca="1">IF($B$3&lt;&gt;"Passive",IFERROR(IF(ISNUMBER(INDEX(Active[M_NOAEL], 3)),
                          INDEX(Active[M_NOAEL], 3)/M174,""),""),"")</f>
        <v/>
      </c>
      <c r="O174" s="370" t="str">
        <f>IFERROR(IF(Active4=TRUE,HLOOKUP(Mammal_Chronic[[#This Row],[Crop]],Input_Scenario,14,FALSE)*HLOOKUP(Mammal_Chronic[[#This Row],[Crop]],Input_Scenario,8,FALSE)*Mammal_Chronic[[#This Row],[SVm]],""),"")</f>
        <v/>
      </c>
      <c r="P174" s="370" t="str">
        <f ca="1">IF($B$3&lt;&gt;"Passive",IFERROR(IF(ISNUMBER(INDEX(Active[M_NOAEL], 4)),
                          INDEX(Active[M_NOAEL], 4)/O174,""),""),"")</f>
        <v/>
      </c>
      <c r="Q174" s="371" t="str">
        <f>IFERROR(IF(Active5=TRUE,HLOOKUP(Mammal_Chronic[[#This Row],[Crop]],Input_Scenario,15,FALSE)*HLOOKUP(Mammal_Chronic[[#This Row],[Crop]],Input_Scenario,8,FALSE)*Mammal_Chronic[[#This Row],[SVm]],""),"")</f>
        <v/>
      </c>
      <c r="R174" s="371" t="str">
        <f ca="1">IF($B$3&lt;&gt;"Passive",IFERROR(IF(ISNUMBER(INDEX(Active[M_NOAEL], 5)),
                          INDEX(Active[M_NOAEL], 5)/Q174,""),""),"")</f>
        <v/>
      </c>
    </row>
    <row r="175" spans="1:18">
      <c r="A175" s="56"/>
      <c r="B175" s="314" t="str">
        <f t="shared" ca="1" si="6"/>
        <v>No input</v>
      </c>
      <c r="C175" s="72" t="s">
        <v>191</v>
      </c>
      <c r="D175" s="73" t="s">
        <v>172</v>
      </c>
      <c r="E175" s="73" t="s">
        <v>271</v>
      </c>
      <c r="F175" s="113">
        <v>3.9</v>
      </c>
      <c r="G175" s="203" t="str">
        <f ca="1">IF(AND(Mammal_Chronic[[#This Row],[Relevance]]="Input provided", Count&gt;=1),
       IF(M_ChronicScheme="C(mix)",
                 HLOOKUP(Mammal_Chronic[[#This Row],[Crop]], Input_Scenario,10,FALSE)*Mammal_Chronic[[#This Row],[SVm]]*HLOOKUP(Mammal_Chronic[[#This Row],[Crop]],Input_Scenario,8,FALSE),""),"")</f>
        <v/>
      </c>
      <c r="H175" s="368" t="str">
        <f t="shared" si="7"/>
        <v/>
      </c>
      <c r="I175" s="370" t="str">
        <f>IFERROR(IF(Active1=TRUE,HLOOKUP(Mammal_Chronic[[#This Row],[Crop]],Input_Scenario,11,FALSE)*HLOOKUP(Mammal_Chronic[[#This Row],[Crop]],Input_Scenario,8,FALSE)*Mammal_Chronic[[#This Row],[SVm]],""),"")</f>
        <v/>
      </c>
      <c r="J175" s="370" t="str">
        <f t="shared" ca="1" si="8"/>
        <v/>
      </c>
      <c r="K175" s="370" t="str">
        <f>IFERROR(IF(Active2=TRUE,HLOOKUP(Mammal_Chronic[[#This Row],[Crop]],Input_Scenario,12,FALSE)*HLOOKUP(Mammal_Chronic[[#This Row],[Crop]],Input_Scenario,8,FALSE)*Mammal_Chronic[[#This Row],[SVm]],""),"")</f>
        <v/>
      </c>
      <c r="L175" s="370" t="str">
        <f ca="1">IF($B$3&lt;&gt;"Passive",IFERROR(IF(ISNUMBER(INDEX(Active[M_NOAEL], 2)),
                          INDEX(Active[M_NOAEL], 2)/K175,""),""),"")</f>
        <v/>
      </c>
      <c r="M175" s="370" t="str">
        <f>IFERROR(IF(Active3=TRUE,HLOOKUP(Mammal_Chronic[[#This Row],[Crop]],Input_Scenario,13,FALSE)*HLOOKUP(Mammal_Chronic[[#This Row],[Crop]],Input_Scenario,8,FALSE)*Mammal_Chronic[[#This Row],[SVm]],""),"")</f>
        <v/>
      </c>
      <c r="N175" s="370" t="str">
        <f ca="1">IF($B$3&lt;&gt;"Passive",IFERROR(IF(ISNUMBER(INDEX(Active[M_NOAEL], 3)),
                          INDEX(Active[M_NOAEL], 3)/M175,""),""),"")</f>
        <v/>
      </c>
      <c r="O175" s="370" t="str">
        <f>IFERROR(IF(Active4=TRUE,HLOOKUP(Mammal_Chronic[[#This Row],[Crop]],Input_Scenario,14,FALSE)*HLOOKUP(Mammal_Chronic[[#This Row],[Crop]],Input_Scenario,8,FALSE)*Mammal_Chronic[[#This Row],[SVm]],""),"")</f>
        <v/>
      </c>
      <c r="P175" s="370" t="str">
        <f ca="1">IF($B$3&lt;&gt;"Passive",IFERROR(IF(ISNUMBER(INDEX(Active[M_NOAEL], 4)),
                          INDEX(Active[M_NOAEL], 4)/O175,""),""),"")</f>
        <v/>
      </c>
      <c r="Q175" s="371" t="str">
        <f>IFERROR(IF(Active5=TRUE,HLOOKUP(Mammal_Chronic[[#This Row],[Crop]],Input_Scenario,15,FALSE)*HLOOKUP(Mammal_Chronic[[#This Row],[Crop]],Input_Scenario,8,FALSE)*Mammal_Chronic[[#This Row],[SVm]],""),"")</f>
        <v/>
      </c>
      <c r="R175" s="371" t="str">
        <f ca="1">IF($B$3&lt;&gt;"Passive",IFERROR(IF(ISNUMBER(INDEX(Active[M_NOAEL], 5)),
                          INDEX(Active[M_NOAEL], 5)/Q175,""),""),"")</f>
        <v/>
      </c>
    </row>
    <row r="176" spans="1:18">
      <c r="A176" s="56"/>
      <c r="B176" s="314" t="str">
        <f t="shared" ca="1" si="6"/>
        <v>No input</v>
      </c>
      <c r="C176" s="72" t="s">
        <v>191</v>
      </c>
      <c r="D176" s="73" t="s">
        <v>267</v>
      </c>
      <c r="E176" s="73" t="s">
        <v>275</v>
      </c>
      <c r="F176" s="113">
        <v>11.1</v>
      </c>
      <c r="G176" s="203" t="str">
        <f ca="1">IF(AND(Mammal_Chronic[[#This Row],[Relevance]]="Input provided", Count&gt;=1),
       IF(M_ChronicScheme="C(mix)",
                 HLOOKUP(Mammal_Chronic[[#This Row],[Crop]], Input_Scenario,10,FALSE)*Mammal_Chronic[[#This Row],[SVm]]*HLOOKUP(Mammal_Chronic[[#This Row],[Crop]],Input_Scenario,8,FALSE),""),"")</f>
        <v/>
      </c>
      <c r="H176" s="368" t="str">
        <f t="shared" si="7"/>
        <v/>
      </c>
      <c r="I176" s="370" t="str">
        <f>IFERROR(IF(Active1=TRUE,HLOOKUP(Mammal_Chronic[[#This Row],[Crop]],Input_Scenario,11,FALSE)*HLOOKUP(Mammal_Chronic[[#This Row],[Crop]],Input_Scenario,8,FALSE)*Mammal_Chronic[[#This Row],[SVm]],""),"")</f>
        <v/>
      </c>
      <c r="J176" s="370" t="str">
        <f t="shared" ca="1" si="8"/>
        <v/>
      </c>
      <c r="K176" s="370" t="str">
        <f>IFERROR(IF(Active2=TRUE,HLOOKUP(Mammal_Chronic[[#This Row],[Crop]],Input_Scenario,12,FALSE)*HLOOKUP(Mammal_Chronic[[#This Row],[Crop]],Input_Scenario,8,FALSE)*Mammal_Chronic[[#This Row],[SVm]],""),"")</f>
        <v/>
      </c>
      <c r="L176" s="370" t="str">
        <f ca="1">IF($B$3&lt;&gt;"Passive",IFERROR(IF(ISNUMBER(INDEX(Active[M_NOAEL], 2)),
                          INDEX(Active[M_NOAEL], 2)/K176,""),""),"")</f>
        <v/>
      </c>
      <c r="M176" s="370" t="str">
        <f>IFERROR(IF(Active3=TRUE,HLOOKUP(Mammal_Chronic[[#This Row],[Crop]],Input_Scenario,13,FALSE)*HLOOKUP(Mammal_Chronic[[#This Row],[Crop]],Input_Scenario,8,FALSE)*Mammal_Chronic[[#This Row],[SVm]],""),"")</f>
        <v/>
      </c>
      <c r="N176" s="370" t="str">
        <f ca="1">IF($B$3&lt;&gt;"Passive",IFERROR(IF(ISNUMBER(INDEX(Active[M_NOAEL], 3)),
                          INDEX(Active[M_NOAEL], 3)/M176,""),""),"")</f>
        <v/>
      </c>
      <c r="O176" s="370" t="str">
        <f>IFERROR(IF(Active4=TRUE,HLOOKUP(Mammal_Chronic[[#This Row],[Crop]],Input_Scenario,14,FALSE)*HLOOKUP(Mammal_Chronic[[#This Row],[Crop]],Input_Scenario,8,FALSE)*Mammal_Chronic[[#This Row],[SVm]],""),"")</f>
        <v/>
      </c>
      <c r="P176" s="370" t="str">
        <f ca="1">IF($B$3&lt;&gt;"Passive",IFERROR(IF(ISNUMBER(INDEX(Active[M_NOAEL], 4)),
                          INDEX(Active[M_NOAEL], 4)/O176,""),""),"")</f>
        <v/>
      </c>
      <c r="Q176" s="371" t="str">
        <f>IFERROR(IF(Active5=TRUE,HLOOKUP(Mammal_Chronic[[#This Row],[Crop]],Input_Scenario,15,FALSE)*HLOOKUP(Mammal_Chronic[[#This Row],[Crop]],Input_Scenario,8,FALSE)*Mammal_Chronic[[#This Row],[SVm]],""),"")</f>
        <v/>
      </c>
      <c r="R176" s="371" t="str">
        <f ca="1">IF($B$3&lt;&gt;"Passive",IFERROR(IF(ISNUMBER(INDEX(Active[M_NOAEL], 5)),
                          INDEX(Active[M_NOAEL], 5)/Q176,""),""),"")</f>
        <v/>
      </c>
    </row>
    <row r="177" spans="1:18">
      <c r="A177" s="56"/>
      <c r="B177" s="314" t="str">
        <f t="shared" ca="1" si="6"/>
        <v>No input</v>
      </c>
      <c r="C177" s="72" t="s">
        <v>191</v>
      </c>
      <c r="D177" s="73" t="s">
        <v>108</v>
      </c>
      <c r="E177" s="73" t="s">
        <v>275</v>
      </c>
      <c r="F177" s="113">
        <v>6.7</v>
      </c>
      <c r="G177" s="203" t="str">
        <f ca="1">IF(AND(Mammal_Chronic[[#This Row],[Relevance]]="Input provided", Count&gt;=1),
       IF(M_ChronicScheme="C(mix)",
                 HLOOKUP(Mammal_Chronic[[#This Row],[Crop]], Input_Scenario,10,FALSE)*Mammal_Chronic[[#This Row],[SVm]]*HLOOKUP(Mammal_Chronic[[#This Row],[Crop]],Input_Scenario,8,FALSE),""),"")</f>
        <v/>
      </c>
      <c r="H177" s="368" t="str">
        <f t="shared" si="7"/>
        <v/>
      </c>
      <c r="I177" s="370" t="str">
        <f>IFERROR(IF(Active1=TRUE,HLOOKUP(Mammal_Chronic[[#This Row],[Crop]],Input_Scenario,11,FALSE)*HLOOKUP(Mammal_Chronic[[#This Row],[Crop]],Input_Scenario,8,FALSE)*Mammal_Chronic[[#This Row],[SVm]],""),"")</f>
        <v/>
      </c>
      <c r="J177" s="370" t="str">
        <f t="shared" ca="1" si="8"/>
        <v/>
      </c>
      <c r="K177" s="370" t="str">
        <f>IFERROR(IF(Active2=TRUE,HLOOKUP(Mammal_Chronic[[#This Row],[Crop]],Input_Scenario,12,FALSE)*HLOOKUP(Mammal_Chronic[[#This Row],[Crop]],Input_Scenario,8,FALSE)*Mammal_Chronic[[#This Row],[SVm]],""),"")</f>
        <v/>
      </c>
      <c r="L177" s="370" t="str">
        <f ca="1">IF($B$3&lt;&gt;"Passive",IFERROR(IF(ISNUMBER(INDEX(Active[M_NOAEL], 2)),
                          INDEX(Active[M_NOAEL], 2)/K177,""),""),"")</f>
        <v/>
      </c>
      <c r="M177" s="370" t="str">
        <f>IFERROR(IF(Active3=TRUE,HLOOKUP(Mammal_Chronic[[#This Row],[Crop]],Input_Scenario,13,FALSE)*HLOOKUP(Mammal_Chronic[[#This Row],[Crop]],Input_Scenario,8,FALSE)*Mammal_Chronic[[#This Row],[SVm]],""),"")</f>
        <v/>
      </c>
      <c r="N177" s="370" t="str">
        <f ca="1">IF($B$3&lt;&gt;"Passive",IFERROR(IF(ISNUMBER(INDEX(Active[M_NOAEL], 3)),
                          INDEX(Active[M_NOAEL], 3)/M177,""),""),"")</f>
        <v/>
      </c>
      <c r="O177" s="370" t="str">
        <f>IFERROR(IF(Active4=TRUE,HLOOKUP(Mammal_Chronic[[#This Row],[Crop]],Input_Scenario,14,FALSE)*HLOOKUP(Mammal_Chronic[[#This Row],[Crop]],Input_Scenario,8,FALSE)*Mammal_Chronic[[#This Row],[SVm]],""),"")</f>
        <v/>
      </c>
      <c r="P177" s="370" t="str">
        <f ca="1">IF($B$3&lt;&gt;"Passive",IFERROR(IF(ISNUMBER(INDEX(Active[M_NOAEL], 4)),
                          INDEX(Active[M_NOAEL], 4)/O177,""),""),"")</f>
        <v/>
      </c>
      <c r="Q177" s="371" t="str">
        <f>IFERROR(IF(Active5=TRUE,HLOOKUP(Mammal_Chronic[[#This Row],[Crop]],Input_Scenario,15,FALSE)*HLOOKUP(Mammal_Chronic[[#This Row],[Crop]],Input_Scenario,8,FALSE)*Mammal_Chronic[[#This Row],[SVm]],""),"")</f>
        <v/>
      </c>
      <c r="R177" s="371" t="str">
        <f ca="1">IF($B$3&lt;&gt;"Passive",IFERROR(IF(ISNUMBER(INDEX(Active[M_NOAEL], 5)),
                          INDEX(Active[M_NOAEL], 5)/Q177,""),""),"")</f>
        <v/>
      </c>
    </row>
    <row r="178" spans="1:18">
      <c r="A178" s="56"/>
      <c r="B178" s="314" t="str">
        <f t="shared" ca="1" si="6"/>
        <v>No input</v>
      </c>
      <c r="C178" s="72" t="s">
        <v>191</v>
      </c>
      <c r="D178" s="73" t="s">
        <v>108</v>
      </c>
      <c r="E178" s="73" t="s">
        <v>272</v>
      </c>
      <c r="F178" s="113">
        <v>4.2</v>
      </c>
      <c r="G178" s="203" t="str">
        <f ca="1">IF(AND(Mammal_Chronic[[#This Row],[Relevance]]="Input provided", Count&gt;=1),
       IF(M_ChronicScheme="C(mix)",
                 HLOOKUP(Mammal_Chronic[[#This Row],[Crop]], Input_Scenario,10,FALSE)*Mammal_Chronic[[#This Row],[SVm]]*HLOOKUP(Mammal_Chronic[[#This Row],[Crop]],Input_Scenario,8,FALSE),""),"")</f>
        <v/>
      </c>
      <c r="H178" s="368" t="str">
        <f t="shared" si="7"/>
        <v/>
      </c>
      <c r="I178" s="370" t="str">
        <f>IFERROR(IF(Active1=TRUE,HLOOKUP(Mammal_Chronic[[#This Row],[Crop]],Input_Scenario,11,FALSE)*HLOOKUP(Mammal_Chronic[[#This Row],[Crop]],Input_Scenario,8,FALSE)*Mammal_Chronic[[#This Row],[SVm]],""),"")</f>
        <v/>
      </c>
      <c r="J178" s="370" t="str">
        <f t="shared" ca="1" si="8"/>
        <v/>
      </c>
      <c r="K178" s="370" t="str">
        <f>IFERROR(IF(Active2=TRUE,HLOOKUP(Mammal_Chronic[[#This Row],[Crop]],Input_Scenario,12,FALSE)*HLOOKUP(Mammal_Chronic[[#This Row],[Crop]],Input_Scenario,8,FALSE)*Mammal_Chronic[[#This Row],[SVm]],""),"")</f>
        <v/>
      </c>
      <c r="L178" s="370" t="str">
        <f ca="1">IF($B$3&lt;&gt;"Passive",IFERROR(IF(ISNUMBER(INDEX(Active[M_NOAEL], 2)),
                          INDEX(Active[M_NOAEL], 2)/K178,""),""),"")</f>
        <v/>
      </c>
      <c r="M178" s="370" t="str">
        <f>IFERROR(IF(Active3=TRUE,HLOOKUP(Mammal_Chronic[[#This Row],[Crop]],Input_Scenario,13,FALSE)*HLOOKUP(Mammal_Chronic[[#This Row],[Crop]],Input_Scenario,8,FALSE)*Mammal_Chronic[[#This Row],[SVm]],""),"")</f>
        <v/>
      </c>
      <c r="N178" s="370" t="str">
        <f ca="1">IF($B$3&lt;&gt;"Passive",IFERROR(IF(ISNUMBER(INDEX(Active[M_NOAEL], 3)),
                          INDEX(Active[M_NOAEL], 3)/M178,""),""),"")</f>
        <v/>
      </c>
      <c r="O178" s="370" t="str">
        <f>IFERROR(IF(Active4=TRUE,HLOOKUP(Mammal_Chronic[[#This Row],[Crop]],Input_Scenario,14,FALSE)*HLOOKUP(Mammal_Chronic[[#This Row],[Crop]],Input_Scenario,8,FALSE)*Mammal_Chronic[[#This Row],[SVm]],""),"")</f>
        <v/>
      </c>
      <c r="P178" s="370" t="str">
        <f ca="1">IF($B$3&lt;&gt;"Passive",IFERROR(IF(ISNUMBER(INDEX(Active[M_NOAEL], 4)),
                          INDEX(Active[M_NOAEL], 4)/O178,""),""),"")</f>
        <v/>
      </c>
      <c r="Q178" s="371" t="str">
        <f>IFERROR(IF(Active5=TRUE,HLOOKUP(Mammal_Chronic[[#This Row],[Crop]],Input_Scenario,15,FALSE)*HLOOKUP(Mammal_Chronic[[#This Row],[Crop]],Input_Scenario,8,FALSE)*Mammal_Chronic[[#This Row],[SVm]],""),"")</f>
        <v/>
      </c>
      <c r="R178" s="371" t="str">
        <f ca="1">IF($B$3&lt;&gt;"Passive",IFERROR(IF(ISNUMBER(INDEX(Active[M_NOAEL], 5)),
                          INDEX(Active[M_NOAEL], 5)/Q178,""),""),"")</f>
        <v/>
      </c>
    </row>
    <row r="179" spans="1:18">
      <c r="A179" s="56"/>
      <c r="B179" s="314" t="str">
        <f t="shared" ca="1" si="6"/>
        <v>No input</v>
      </c>
      <c r="C179" s="72" t="s">
        <v>191</v>
      </c>
      <c r="D179" s="73" t="s">
        <v>146</v>
      </c>
      <c r="E179" s="73" t="s">
        <v>275</v>
      </c>
      <c r="F179" s="113">
        <v>5.5</v>
      </c>
      <c r="G179" s="203" t="str">
        <f ca="1">IF(AND(Mammal_Chronic[[#This Row],[Relevance]]="Input provided", Count&gt;=1),
       IF(M_ChronicScheme="C(mix)",
                 HLOOKUP(Mammal_Chronic[[#This Row],[Crop]], Input_Scenario,10,FALSE)*Mammal_Chronic[[#This Row],[SVm]]*HLOOKUP(Mammal_Chronic[[#This Row],[Crop]],Input_Scenario,8,FALSE),""),"")</f>
        <v/>
      </c>
      <c r="H179" s="368" t="str">
        <f t="shared" si="7"/>
        <v/>
      </c>
      <c r="I179" s="370" t="str">
        <f>IFERROR(IF(Active1=TRUE,HLOOKUP(Mammal_Chronic[[#This Row],[Crop]],Input_Scenario,11,FALSE)*HLOOKUP(Mammal_Chronic[[#This Row],[Crop]],Input_Scenario,8,FALSE)*Mammal_Chronic[[#This Row],[SVm]],""),"")</f>
        <v/>
      </c>
      <c r="J179" s="370" t="str">
        <f t="shared" ca="1" si="8"/>
        <v/>
      </c>
      <c r="K179" s="370" t="str">
        <f>IFERROR(IF(Active2=TRUE,HLOOKUP(Mammal_Chronic[[#This Row],[Crop]],Input_Scenario,12,FALSE)*HLOOKUP(Mammal_Chronic[[#This Row],[Crop]],Input_Scenario,8,FALSE)*Mammal_Chronic[[#This Row],[SVm]],""),"")</f>
        <v/>
      </c>
      <c r="L179" s="370" t="str">
        <f ca="1">IF($B$3&lt;&gt;"Passive",IFERROR(IF(ISNUMBER(INDEX(Active[M_NOAEL], 2)),
                          INDEX(Active[M_NOAEL], 2)/K179,""),""),"")</f>
        <v/>
      </c>
      <c r="M179" s="370" t="str">
        <f>IFERROR(IF(Active3=TRUE,HLOOKUP(Mammal_Chronic[[#This Row],[Crop]],Input_Scenario,13,FALSE)*HLOOKUP(Mammal_Chronic[[#This Row],[Crop]],Input_Scenario,8,FALSE)*Mammal_Chronic[[#This Row],[SVm]],""),"")</f>
        <v/>
      </c>
      <c r="N179" s="370" t="str">
        <f ca="1">IF($B$3&lt;&gt;"Passive",IFERROR(IF(ISNUMBER(INDEX(Active[M_NOAEL], 3)),
                          INDEX(Active[M_NOAEL], 3)/M179,""),""),"")</f>
        <v/>
      </c>
      <c r="O179" s="370" t="str">
        <f>IFERROR(IF(Active4=TRUE,HLOOKUP(Mammal_Chronic[[#This Row],[Crop]],Input_Scenario,14,FALSE)*HLOOKUP(Mammal_Chronic[[#This Row],[Crop]],Input_Scenario,8,FALSE)*Mammal_Chronic[[#This Row],[SVm]],""),"")</f>
        <v/>
      </c>
      <c r="P179" s="370" t="str">
        <f ca="1">IF($B$3&lt;&gt;"Passive",IFERROR(IF(ISNUMBER(INDEX(Active[M_NOAEL], 4)),
                          INDEX(Active[M_NOAEL], 4)/O179,""),""),"")</f>
        <v/>
      </c>
      <c r="Q179" s="371" t="str">
        <f>IFERROR(IF(Active5=TRUE,HLOOKUP(Mammal_Chronic[[#This Row],[Crop]],Input_Scenario,15,FALSE)*HLOOKUP(Mammal_Chronic[[#This Row],[Crop]],Input_Scenario,8,FALSE)*Mammal_Chronic[[#This Row],[SVm]],""),"")</f>
        <v/>
      </c>
      <c r="R179" s="371" t="str">
        <f ca="1">IF($B$3&lt;&gt;"Passive",IFERROR(IF(ISNUMBER(INDEX(Active[M_NOAEL], 5)),
                          INDEX(Active[M_NOAEL], 5)/Q179,""),""),"")</f>
        <v/>
      </c>
    </row>
    <row r="180" spans="1:18">
      <c r="A180" s="56"/>
      <c r="B180" s="314" t="str">
        <f t="shared" ca="1" si="6"/>
        <v>No input</v>
      </c>
      <c r="C180" s="72" t="s">
        <v>191</v>
      </c>
      <c r="D180" s="73" t="s">
        <v>111</v>
      </c>
      <c r="E180" s="73" t="s">
        <v>272</v>
      </c>
      <c r="F180" s="113">
        <v>1.9</v>
      </c>
      <c r="G180" s="203" t="str">
        <f ca="1">IF(AND(Mammal_Chronic[[#This Row],[Relevance]]="Input provided", Count&gt;=1),
       IF(M_ChronicScheme="C(mix)",
                 HLOOKUP(Mammal_Chronic[[#This Row],[Crop]], Input_Scenario,10,FALSE)*Mammal_Chronic[[#This Row],[SVm]]*HLOOKUP(Mammal_Chronic[[#This Row],[Crop]],Input_Scenario,8,FALSE),""),"")</f>
        <v/>
      </c>
      <c r="H180" s="368" t="str">
        <f t="shared" si="7"/>
        <v/>
      </c>
      <c r="I180" s="370" t="str">
        <f>IFERROR(IF(Active1=TRUE,HLOOKUP(Mammal_Chronic[[#This Row],[Crop]],Input_Scenario,11,FALSE)*HLOOKUP(Mammal_Chronic[[#This Row],[Crop]],Input_Scenario,8,FALSE)*Mammal_Chronic[[#This Row],[SVm]],""),"")</f>
        <v/>
      </c>
      <c r="J180" s="370" t="str">
        <f t="shared" ca="1" si="8"/>
        <v/>
      </c>
      <c r="K180" s="370" t="str">
        <f>IFERROR(IF(Active2=TRUE,HLOOKUP(Mammal_Chronic[[#This Row],[Crop]],Input_Scenario,12,FALSE)*HLOOKUP(Mammal_Chronic[[#This Row],[Crop]],Input_Scenario,8,FALSE)*Mammal_Chronic[[#This Row],[SVm]],""),"")</f>
        <v/>
      </c>
      <c r="L180" s="370" t="str">
        <f ca="1">IF($B$3&lt;&gt;"Passive",IFERROR(IF(ISNUMBER(INDEX(Active[M_NOAEL], 2)),
                          INDEX(Active[M_NOAEL], 2)/K180,""),""),"")</f>
        <v/>
      </c>
      <c r="M180" s="370" t="str">
        <f>IFERROR(IF(Active3=TRUE,HLOOKUP(Mammal_Chronic[[#This Row],[Crop]],Input_Scenario,13,FALSE)*HLOOKUP(Mammal_Chronic[[#This Row],[Crop]],Input_Scenario,8,FALSE)*Mammal_Chronic[[#This Row],[SVm]],""),"")</f>
        <v/>
      </c>
      <c r="N180" s="370" t="str">
        <f ca="1">IF($B$3&lt;&gt;"Passive",IFERROR(IF(ISNUMBER(INDEX(Active[M_NOAEL], 3)),
                          INDEX(Active[M_NOAEL], 3)/M180,""),""),"")</f>
        <v/>
      </c>
      <c r="O180" s="370" t="str">
        <f>IFERROR(IF(Active4=TRUE,HLOOKUP(Mammal_Chronic[[#This Row],[Crop]],Input_Scenario,14,FALSE)*HLOOKUP(Mammal_Chronic[[#This Row],[Crop]],Input_Scenario,8,FALSE)*Mammal_Chronic[[#This Row],[SVm]],""),"")</f>
        <v/>
      </c>
      <c r="P180" s="370" t="str">
        <f ca="1">IF($B$3&lt;&gt;"Passive",IFERROR(IF(ISNUMBER(INDEX(Active[M_NOAEL], 4)),
                          INDEX(Active[M_NOAEL], 4)/O180,""),""),"")</f>
        <v/>
      </c>
      <c r="Q180" s="371" t="str">
        <f>IFERROR(IF(Active5=TRUE,HLOOKUP(Mammal_Chronic[[#This Row],[Crop]],Input_Scenario,15,FALSE)*HLOOKUP(Mammal_Chronic[[#This Row],[Crop]],Input_Scenario,8,FALSE)*Mammal_Chronic[[#This Row],[SVm]],""),"")</f>
        <v/>
      </c>
      <c r="R180" s="371" t="str">
        <f ca="1">IF($B$3&lt;&gt;"Passive",IFERROR(IF(ISNUMBER(INDEX(Active[M_NOAEL], 5)),
                          INDEX(Active[M_NOAEL], 5)/Q180,""),""),"")</f>
        <v/>
      </c>
    </row>
    <row r="181" spans="1:18">
      <c r="A181" s="56"/>
      <c r="B181" s="314" t="str">
        <f t="shared" ca="1" si="6"/>
        <v>No input</v>
      </c>
      <c r="C181" s="72" t="s">
        <v>191</v>
      </c>
      <c r="D181" s="73" t="s">
        <v>109</v>
      </c>
      <c r="E181" s="73" t="s">
        <v>275</v>
      </c>
      <c r="F181" s="113">
        <v>3.3</v>
      </c>
      <c r="G181" s="203" t="str">
        <f ca="1">IF(AND(Mammal_Chronic[[#This Row],[Relevance]]="Input provided", Count&gt;=1),
       IF(M_ChronicScheme="C(mix)",
                 HLOOKUP(Mammal_Chronic[[#This Row],[Crop]], Input_Scenario,10,FALSE)*Mammal_Chronic[[#This Row],[SVm]]*HLOOKUP(Mammal_Chronic[[#This Row],[Crop]],Input_Scenario,8,FALSE),""),"")</f>
        <v/>
      </c>
      <c r="H181" s="368" t="str">
        <f t="shared" si="7"/>
        <v/>
      </c>
      <c r="I181" s="370" t="str">
        <f>IFERROR(IF(Active1=TRUE,HLOOKUP(Mammal_Chronic[[#This Row],[Crop]],Input_Scenario,11,FALSE)*HLOOKUP(Mammal_Chronic[[#This Row],[Crop]],Input_Scenario,8,FALSE)*Mammal_Chronic[[#This Row],[SVm]],""),"")</f>
        <v/>
      </c>
      <c r="J181" s="370" t="str">
        <f t="shared" ca="1" si="8"/>
        <v/>
      </c>
      <c r="K181" s="370" t="str">
        <f>IFERROR(IF(Active2=TRUE,HLOOKUP(Mammal_Chronic[[#This Row],[Crop]],Input_Scenario,12,FALSE)*HLOOKUP(Mammal_Chronic[[#This Row],[Crop]],Input_Scenario,8,FALSE)*Mammal_Chronic[[#This Row],[SVm]],""),"")</f>
        <v/>
      </c>
      <c r="L181" s="370" t="str">
        <f ca="1">IF($B$3&lt;&gt;"Passive",IFERROR(IF(ISNUMBER(INDEX(Active[M_NOAEL], 2)),
                          INDEX(Active[M_NOAEL], 2)/K181,""),""),"")</f>
        <v/>
      </c>
      <c r="M181" s="370" t="str">
        <f>IFERROR(IF(Active3=TRUE,HLOOKUP(Mammal_Chronic[[#This Row],[Crop]],Input_Scenario,13,FALSE)*HLOOKUP(Mammal_Chronic[[#This Row],[Crop]],Input_Scenario,8,FALSE)*Mammal_Chronic[[#This Row],[SVm]],""),"")</f>
        <v/>
      </c>
      <c r="N181" s="370" t="str">
        <f ca="1">IF($B$3&lt;&gt;"Passive",IFERROR(IF(ISNUMBER(INDEX(Active[M_NOAEL], 3)),
                          INDEX(Active[M_NOAEL], 3)/M181,""),""),"")</f>
        <v/>
      </c>
      <c r="O181" s="370" t="str">
        <f>IFERROR(IF(Active4=TRUE,HLOOKUP(Mammal_Chronic[[#This Row],[Crop]],Input_Scenario,14,FALSE)*HLOOKUP(Mammal_Chronic[[#This Row],[Crop]],Input_Scenario,8,FALSE)*Mammal_Chronic[[#This Row],[SVm]],""),"")</f>
        <v/>
      </c>
      <c r="P181" s="370" t="str">
        <f ca="1">IF($B$3&lt;&gt;"Passive",IFERROR(IF(ISNUMBER(INDEX(Active[M_NOAEL], 4)),
                          INDEX(Active[M_NOAEL], 4)/O181,""),""),"")</f>
        <v/>
      </c>
      <c r="Q181" s="371" t="str">
        <f>IFERROR(IF(Active5=TRUE,HLOOKUP(Mammal_Chronic[[#This Row],[Crop]],Input_Scenario,15,FALSE)*HLOOKUP(Mammal_Chronic[[#This Row],[Crop]],Input_Scenario,8,FALSE)*Mammal_Chronic[[#This Row],[SVm]],""),"")</f>
        <v/>
      </c>
      <c r="R181" s="371" t="str">
        <f ca="1">IF($B$3&lt;&gt;"Passive",IFERROR(IF(ISNUMBER(INDEX(Active[M_NOAEL], 5)),
                          INDEX(Active[M_NOAEL], 5)/Q181,""),""),"")</f>
        <v/>
      </c>
    </row>
    <row r="182" spans="1:18">
      <c r="A182" s="56"/>
      <c r="B182" s="314" t="str">
        <f t="shared" ca="1" si="6"/>
        <v>No input</v>
      </c>
      <c r="C182" s="72" t="s">
        <v>191</v>
      </c>
      <c r="D182" s="73" t="s">
        <v>173</v>
      </c>
      <c r="E182" s="73" t="s">
        <v>273</v>
      </c>
      <c r="F182" s="113">
        <v>21.7</v>
      </c>
      <c r="G182" s="203" t="str">
        <f ca="1">IF(AND(Mammal_Chronic[[#This Row],[Relevance]]="Input provided", Count&gt;=1),
       IF(M_ChronicScheme="C(mix)",
                 HLOOKUP(Mammal_Chronic[[#This Row],[Crop]], Input_Scenario,10,FALSE)*Mammal_Chronic[[#This Row],[SVm]]*HLOOKUP(Mammal_Chronic[[#This Row],[Crop]],Input_Scenario,8,FALSE),""),"")</f>
        <v/>
      </c>
      <c r="H182" s="368" t="str">
        <f t="shared" si="7"/>
        <v/>
      </c>
      <c r="I182" s="370" t="str">
        <f>IFERROR(IF(Active1=TRUE,HLOOKUP(Mammal_Chronic[[#This Row],[Crop]],Input_Scenario,11,FALSE)*HLOOKUP(Mammal_Chronic[[#This Row],[Crop]],Input_Scenario,8,FALSE)*Mammal_Chronic[[#This Row],[SVm]],""),"")</f>
        <v/>
      </c>
      <c r="J182" s="370" t="str">
        <f t="shared" ca="1" si="8"/>
        <v/>
      </c>
      <c r="K182" s="370" t="str">
        <f>IFERROR(IF(Active2=TRUE,HLOOKUP(Mammal_Chronic[[#This Row],[Crop]],Input_Scenario,12,FALSE)*HLOOKUP(Mammal_Chronic[[#This Row],[Crop]],Input_Scenario,8,FALSE)*Mammal_Chronic[[#This Row],[SVm]],""),"")</f>
        <v/>
      </c>
      <c r="L182" s="370" t="str">
        <f ca="1">IF($B$3&lt;&gt;"Passive",IFERROR(IF(ISNUMBER(INDEX(Active[M_NOAEL], 2)),
                          INDEX(Active[M_NOAEL], 2)/K182,""),""),"")</f>
        <v/>
      </c>
      <c r="M182" s="370" t="str">
        <f>IFERROR(IF(Active3=TRUE,HLOOKUP(Mammal_Chronic[[#This Row],[Crop]],Input_Scenario,13,FALSE)*HLOOKUP(Mammal_Chronic[[#This Row],[Crop]],Input_Scenario,8,FALSE)*Mammal_Chronic[[#This Row],[SVm]],""),"")</f>
        <v/>
      </c>
      <c r="N182" s="370" t="str">
        <f ca="1">IF($B$3&lt;&gt;"Passive",IFERROR(IF(ISNUMBER(INDEX(Active[M_NOAEL], 3)),
                          INDEX(Active[M_NOAEL], 3)/M182,""),""),"")</f>
        <v/>
      </c>
      <c r="O182" s="370" t="str">
        <f>IFERROR(IF(Active4=TRUE,HLOOKUP(Mammal_Chronic[[#This Row],[Crop]],Input_Scenario,14,FALSE)*HLOOKUP(Mammal_Chronic[[#This Row],[Crop]],Input_Scenario,8,FALSE)*Mammal_Chronic[[#This Row],[SVm]],""),"")</f>
        <v/>
      </c>
      <c r="P182" s="370" t="str">
        <f ca="1">IF($B$3&lt;&gt;"Passive",IFERROR(IF(ISNUMBER(INDEX(Active[M_NOAEL], 4)),
                          INDEX(Active[M_NOAEL], 4)/O182,""),""),"")</f>
        <v/>
      </c>
      <c r="Q182" s="371" t="str">
        <f>IFERROR(IF(Active5=TRUE,HLOOKUP(Mammal_Chronic[[#This Row],[Crop]],Input_Scenario,15,FALSE)*HLOOKUP(Mammal_Chronic[[#This Row],[Crop]],Input_Scenario,8,FALSE)*Mammal_Chronic[[#This Row],[SVm]],""),"")</f>
        <v/>
      </c>
      <c r="R182" s="371" t="str">
        <f ca="1">IF($B$3&lt;&gt;"Passive",IFERROR(IF(ISNUMBER(INDEX(Active[M_NOAEL], 5)),
                          INDEX(Active[M_NOAEL], 5)/Q182,""),""),"")</f>
        <v/>
      </c>
    </row>
    <row r="183" spans="1:18">
      <c r="A183" s="56"/>
      <c r="B183" s="314" t="str">
        <f t="shared" ca="1" si="6"/>
        <v>No input</v>
      </c>
      <c r="C183" s="72" t="s">
        <v>191</v>
      </c>
      <c r="D183" s="73" t="s">
        <v>173</v>
      </c>
      <c r="E183" s="73" t="s">
        <v>271</v>
      </c>
      <c r="F183" s="113">
        <v>2.2999999999999998</v>
      </c>
      <c r="G183" s="203" t="str">
        <f ca="1">IF(AND(Mammal_Chronic[[#This Row],[Relevance]]="Input provided", Count&gt;=1),
       IF(M_ChronicScheme="C(mix)",
                 HLOOKUP(Mammal_Chronic[[#This Row],[Crop]], Input_Scenario,10,FALSE)*Mammal_Chronic[[#This Row],[SVm]]*HLOOKUP(Mammal_Chronic[[#This Row],[Crop]],Input_Scenario,8,FALSE),""),"")</f>
        <v/>
      </c>
      <c r="H183" s="368" t="str">
        <f t="shared" si="7"/>
        <v/>
      </c>
      <c r="I183" s="370" t="str">
        <f>IFERROR(IF(Active1=TRUE,HLOOKUP(Mammal_Chronic[[#This Row],[Crop]],Input_Scenario,11,FALSE)*HLOOKUP(Mammal_Chronic[[#This Row],[Crop]],Input_Scenario,8,FALSE)*Mammal_Chronic[[#This Row],[SVm]],""),"")</f>
        <v/>
      </c>
      <c r="J183" s="370" t="str">
        <f t="shared" ca="1" si="8"/>
        <v/>
      </c>
      <c r="K183" s="370" t="str">
        <f>IFERROR(IF(Active2=TRUE,HLOOKUP(Mammal_Chronic[[#This Row],[Crop]],Input_Scenario,12,FALSE)*HLOOKUP(Mammal_Chronic[[#This Row],[Crop]],Input_Scenario,8,FALSE)*Mammal_Chronic[[#This Row],[SVm]],""),"")</f>
        <v/>
      </c>
      <c r="L183" s="370" t="str">
        <f ca="1">IF($B$3&lt;&gt;"Passive",IFERROR(IF(ISNUMBER(INDEX(Active[M_NOAEL], 2)),
                          INDEX(Active[M_NOAEL], 2)/K183,""),""),"")</f>
        <v/>
      </c>
      <c r="M183" s="370" t="str">
        <f>IFERROR(IF(Active3=TRUE,HLOOKUP(Mammal_Chronic[[#This Row],[Crop]],Input_Scenario,13,FALSE)*HLOOKUP(Mammal_Chronic[[#This Row],[Crop]],Input_Scenario,8,FALSE)*Mammal_Chronic[[#This Row],[SVm]],""),"")</f>
        <v/>
      </c>
      <c r="N183" s="370" t="str">
        <f ca="1">IF($B$3&lt;&gt;"Passive",IFERROR(IF(ISNUMBER(INDEX(Active[M_NOAEL], 3)),
                          INDEX(Active[M_NOAEL], 3)/M183,""),""),"")</f>
        <v/>
      </c>
      <c r="O183" s="370" t="str">
        <f>IFERROR(IF(Active4=TRUE,HLOOKUP(Mammal_Chronic[[#This Row],[Crop]],Input_Scenario,14,FALSE)*HLOOKUP(Mammal_Chronic[[#This Row],[Crop]],Input_Scenario,8,FALSE)*Mammal_Chronic[[#This Row],[SVm]],""),"")</f>
        <v/>
      </c>
      <c r="P183" s="370" t="str">
        <f ca="1">IF($B$3&lt;&gt;"Passive",IFERROR(IF(ISNUMBER(INDEX(Active[M_NOAEL], 4)),
                          INDEX(Active[M_NOAEL], 4)/O183,""),""),"")</f>
        <v/>
      </c>
      <c r="Q183" s="371" t="str">
        <f>IFERROR(IF(Active5=TRUE,HLOOKUP(Mammal_Chronic[[#This Row],[Crop]],Input_Scenario,15,FALSE)*HLOOKUP(Mammal_Chronic[[#This Row],[Crop]],Input_Scenario,8,FALSE)*Mammal_Chronic[[#This Row],[SVm]],""),"")</f>
        <v/>
      </c>
      <c r="R183" s="371" t="str">
        <f ca="1">IF($B$3&lt;&gt;"Passive",IFERROR(IF(ISNUMBER(INDEX(Active[M_NOAEL], 5)),
                          INDEX(Active[M_NOAEL], 5)/Q183,""),""),"")</f>
        <v/>
      </c>
    </row>
    <row r="184" spans="1:18">
      <c r="A184" s="56"/>
      <c r="B184" s="314" t="str">
        <f t="shared" ca="1" si="6"/>
        <v>No input</v>
      </c>
      <c r="C184" s="72" t="s">
        <v>167</v>
      </c>
      <c r="D184" s="73" t="s">
        <v>258</v>
      </c>
      <c r="E184" s="73" t="s">
        <v>273</v>
      </c>
      <c r="F184" s="113">
        <v>57.8</v>
      </c>
      <c r="G184" s="203" t="str">
        <f ca="1">IF(AND(Mammal_Chronic[[#This Row],[Relevance]]="Input provided", Count&gt;=1),
       IF(M_ChronicScheme="C(mix)",
                 HLOOKUP(Mammal_Chronic[[#This Row],[Crop]], Input_Scenario,10,FALSE)*Mammal_Chronic[[#This Row],[SVm]]*HLOOKUP(Mammal_Chronic[[#This Row],[Crop]],Input_Scenario,8,FALSE),""),"")</f>
        <v/>
      </c>
      <c r="H184" s="368" t="str">
        <f t="shared" si="7"/>
        <v/>
      </c>
      <c r="I184" s="370" t="str">
        <f>IFERROR(IF(Active1=TRUE,HLOOKUP(Mammal_Chronic[[#This Row],[Crop]],Input_Scenario,11,FALSE)*HLOOKUP(Mammal_Chronic[[#This Row],[Crop]],Input_Scenario,8,FALSE)*Mammal_Chronic[[#This Row],[SVm]],""),"")</f>
        <v/>
      </c>
      <c r="J184" s="370" t="str">
        <f t="shared" ca="1" si="8"/>
        <v/>
      </c>
      <c r="K184" s="370" t="str">
        <f>IFERROR(IF(Active2=TRUE,HLOOKUP(Mammal_Chronic[[#This Row],[Crop]],Input_Scenario,12,FALSE)*HLOOKUP(Mammal_Chronic[[#This Row],[Crop]],Input_Scenario,8,FALSE)*Mammal_Chronic[[#This Row],[SVm]],""),"")</f>
        <v/>
      </c>
      <c r="L184" s="370" t="str">
        <f ca="1">IF($B$3&lt;&gt;"Passive",IFERROR(IF(ISNUMBER(INDEX(Active[M_NOAEL], 2)),
                          INDEX(Active[M_NOAEL], 2)/K184,""),""),"")</f>
        <v/>
      </c>
      <c r="M184" s="370" t="str">
        <f>IFERROR(IF(Active3=TRUE,HLOOKUP(Mammal_Chronic[[#This Row],[Crop]],Input_Scenario,13,FALSE)*HLOOKUP(Mammal_Chronic[[#This Row],[Crop]],Input_Scenario,8,FALSE)*Mammal_Chronic[[#This Row],[SVm]],""),"")</f>
        <v/>
      </c>
      <c r="N184" s="370" t="str">
        <f ca="1">IF($B$3&lt;&gt;"Passive",IFERROR(IF(ISNUMBER(INDEX(Active[M_NOAEL], 3)),
                          INDEX(Active[M_NOAEL], 3)/M184,""),""),"")</f>
        <v/>
      </c>
      <c r="O184" s="370" t="str">
        <f>IFERROR(IF(Active4=TRUE,HLOOKUP(Mammal_Chronic[[#This Row],[Crop]],Input_Scenario,14,FALSE)*HLOOKUP(Mammal_Chronic[[#This Row],[Crop]],Input_Scenario,8,FALSE)*Mammal_Chronic[[#This Row],[SVm]],""),"")</f>
        <v/>
      </c>
      <c r="P184" s="370" t="str">
        <f ca="1">IF($B$3&lt;&gt;"Passive",IFERROR(IF(ISNUMBER(INDEX(Active[M_NOAEL], 4)),
                          INDEX(Active[M_NOAEL], 4)/O184,""),""),"")</f>
        <v/>
      </c>
      <c r="Q184" s="371" t="str">
        <f>IFERROR(IF(Active5=TRUE,HLOOKUP(Mammal_Chronic[[#This Row],[Crop]],Input_Scenario,15,FALSE)*HLOOKUP(Mammal_Chronic[[#This Row],[Crop]],Input_Scenario,8,FALSE)*Mammal_Chronic[[#This Row],[SVm]],""),"")</f>
        <v/>
      </c>
      <c r="R184" s="371" t="str">
        <f ca="1">IF($B$3&lt;&gt;"Passive",IFERROR(IF(ISNUMBER(INDEX(Active[M_NOAEL], 5)),
                          INDEX(Active[M_NOAEL], 5)/Q184,""),""),"")</f>
        <v/>
      </c>
    </row>
    <row r="185" spans="1:18">
      <c r="A185" s="56"/>
      <c r="B185" s="314" t="str">
        <f t="shared" ca="1" si="6"/>
        <v>No input</v>
      </c>
      <c r="C185" s="72" t="s">
        <v>167</v>
      </c>
      <c r="D185" s="73" t="s">
        <v>258</v>
      </c>
      <c r="E185" s="73" t="s">
        <v>275</v>
      </c>
      <c r="F185" s="113">
        <v>11.5</v>
      </c>
      <c r="G185" s="203" t="str">
        <f ca="1">IF(AND(Mammal_Chronic[[#This Row],[Relevance]]="Input provided", Count&gt;=1),
       IF(M_ChronicScheme="C(mix)",
                 HLOOKUP(Mammal_Chronic[[#This Row],[Crop]], Input_Scenario,10,FALSE)*Mammal_Chronic[[#This Row],[SVm]]*HLOOKUP(Mammal_Chronic[[#This Row],[Crop]],Input_Scenario,8,FALSE),""),"")</f>
        <v/>
      </c>
      <c r="H185" s="368" t="str">
        <f t="shared" si="7"/>
        <v/>
      </c>
      <c r="I185" s="370" t="str">
        <f>IFERROR(IF(Active1=TRUE,HLOOKUP(Mammal_Chronic[[#This Row],[Crop]],Input_Scenario,11,FALSE)*HLOOKUP(Mammal_Chronic[[#This Row],[Crop]],Input_Scenario,8,FALSE)*Mammal_Chronic[[#This Row],[SVm]],""),"")</f>
        <v/>
      </c>
      <c r="J185" s="370" t="str">
        <f t="shared" ca="1" si="8"/>
        <v/>
      </c>
      <c r="K185" s="370" t="str">
        <f>IFERROR(IF(Active2=TRUE,HLOOKUP(Mammal_Chronic[[#This Row],[Crop]],Input_Scenario,12,FALSE)*HLOOKUP(Mammal_Chronic[[#This Row],[Crop]],Input_Scenario,8,FALSE)*Mammal_Chronic[[#This Row],[SVm]],""),"")</f>
        <v/>
      </c>
      <c r="L185" s="370" t="str">
        <f ca="1">IF($B$3&lt;&gt;"Passive",IFERROR(IF(ISNUMBER(INDEX(Active[M_NOAEL], 2)),
                          INDEX(Active[M_NOAEL], 2)/K185,""),""),"")</f>
        <v/>
      </c>
      <c r="M185" s="370" t="str">
        <f>IFERROR(IF(Active3=TRUE,HLOOKUP(Mammal_Chronic[[#This Row],[Crop]],Input_Scenario,13,FALSE)*HLOOKUP(Mammal_Chronic[[#This Row],[Crop]],Input_Scenario,8,FALSE)*Mammal_Chronic[[#This Row],[SVm]],""),"")</f>
        <v/>
      </c>
      <c r="N185" s="370" t="str">
        <f ca="1">IF($B$3&lt;&gt;"Passive",IFERROR(IF(ISNUMBER(INDEX(Active[M_NOAEL], 3)),
                          INDEX(Active[M_NOAEL], 3)/M185,""),""),"")</f>
        <v/>
      </c>
      <c r="O185" s="370" t="str">
        <f>IFERROR(IF(Active4=TRUE,HLOOKUP(Mammal_Chronic[[#This Row],[Crop]],Input_Scenario,14,FALSE)*HLOOKUP(Mammal_Chronic[[#This Row],[Crop]],Input_Scenario,8,FALSE)*Mammal_Chronic[[#This Row],[SVm]],""),"")</f>
        <v/>
      </c>
      <c r="P185" s="370" t="str">
        <f ca="1">IF($B$3&lt;&gt;"Passive",IFERROR(IF(ISNUMBER(INDEX(Active[M_NOAEL], 4)),
                          INDEX(Active[M_NOAEL], 4)/O185,""),""),"")</f>
        <v/>
      </c>
      <c r="Q185" s="371" t="str">
        <f>IFERROR(IF(Active5=TRUE,HLOOKUP(Mammal_Chronic[[#This Row],[Crop]],Input_Scenario,15,FALSE)*HLOOKUP(Mammal_Chronic[[#This Row],[Crop]],Input_Scenario,8,FALSE)*Mammal_Chronic[[#This Row],[SVm]],""),"")</f>
        <v/>
      </c>
      <c r="R185" s="371" t="str">
        <f ca="1">IF($B$3&lt;&gt;"Passive",IFERROR(IF(ISNUMBER(INDEX(Active[M_NOAEL], 5)),
                          INDEX(Active[M_NOAEL], 5)/Q185,""),""),"")</f>
        <v/>
      </c>
    </row>
    <row r="186" spans="1:18">
      <c r="A186" s="56"/>
      <c r="B186" s="314" t="str">
        <f t="shared" ca="1" si="6"/>
        <v>No input</v>
      </c>
      <c r="C186" s="72" t="s">
        <v>167</v>
      </c>
      <c r="D186" s="73" t="s">
        <v>258</v>
      </c>
      <c r="E186" s="73" t="s">
        <v>271</v>
      </c>
      <c r="F186" s="113">
        <v>6.2</v>
      </c>
      <c r="G186" s="203" t="str">
        <f ca="1">IF(AND(Mammal_Chronic[[#This Row],[Relevance]]="Input provided", Count&gt;=1),
       IF(M_ChronicScheme="C(mix)",
                 HLOOKUP(Mammal_Chronic[[#This Row],[Crop]], Input_Scenario,10,FALSE)*Mammal_Chronic[[#This Row],[SVm]]*HLOOKUP(Mammal_Chronic[[#This Row],[Crop]],Input_Scenario,8,FALSE),""),"")</f>
        <v/>
      </c>
      <c r="H186" s="368" t="str">
        <f t="shared" si="7"/>
        <v/>
      </c>
      <c r="I186" s="370" t="str">
        <f>IFERROR(IF(Active1=TRUE,HLOOKUP(Mammal_Chronic[[#This Row],[Crop]],Input_Scenario,11,FALSE)*HLOOKUP(Mammal_Chronic[[#This Row],[Crop]],Input_Scenario,8,FALSE)*Mammal_Chronic[[#This Row],[SVm]],""),"")</f>
        <v/>
      </c>
      <c r="J186" s="370" t="str">
        <f t="shared" ca="1" si="8"/>
        <v/>
      </c>
      <c r="K186" s="370" t="str">
        <f>IFERROR(IF(Active2=TRUE,HLOOKUP(Mammal_Chronic[[#This Row],[Crop]],Input_Scenario,12,FALSE)*HLOOKUP(Mammal_Chronic[[#This Row],[Crop]],Input_Scenario,8,FALSE)*Mammal_Chronic[[#This Row],[SVm]],""),"")</f>
        <v/>
      </c>
      <c r="L186" s="370" t="str">
        <f ca="1">IF($B$3&lt;&gt;"Passive",IFERROR(IF(ISNUMBER(INDEX(Active[M_NOAEL], 2)),
                          INDEX(Active[M_NOAEL], 2)/K186,""),""),"")</f>
        <v/>
      </c>
      <c r="M186" s="370" t="str">
        <f>IFERROR(IF(Active3=TRUE,HLOOKUP(Mammal_Chronic[[#This Row],[Crop]],Input_Scenario,13,FALSE)*HLOOKUP(Mammal_Chronic[[#This Row],[Crop]],Input_Scenario,8,FALSE)*Mammal_Chronic[[#This Row],[SVm]],""),"")</f>
        <v/>
      </c>
      <c r="N186" s="370" t="str">
        <f ca="1">IF($B$3&lt;&gt;"Passive",IFERROR(IF(ISNUMBER(INDEX(Active[M_NOAEL], 3)),
                          INDEX(Active[M_NOAEL], 3)/M186,""),""),"")</f>
        <v/>
      </c>
      <c r="O186" s="370" t="str">
        <f>IFERROR(IF(Active4=TRUE,HLOOKUP(Mammal_Chronic[[#This Row],[Crop]],Input_Scenario,14,FALSE)*HLOOKUP(Mammal_Chronic[[#This Row],[Crop]],Input_Scenario,8,FALSE)*Mammal_Chronic[[#This Row],[SVm]],""),"")</f>
        <v/>
      </c>
      <c r="P186" s="370" t="str">
        <f ca="1">IF($B$3&lt;&gt;"Passive",IFERROR(IF(ISNUMBER(INDEX(Active[M_NOAEL], 4)),
                          INDEX(Active[M_NOAEL], 4)/O186,""),""),"")</f>
        <v/>
      </c>
      <c r="Q186" s="371" t="str">
        <f>IFERROR(IF(Active5=TRUE,HLOOKUP(Mammal_Chronic[[#This Row],[Crop]],Input_Scenario,15,FALSE)*HLOOKUP(Mammal_Chronic[[#This Row],[Crop]],Input_Scenario,8,FALSE)*Mammal_Chronic[[#This Row],[SVm]],""),"")</f>
        <v/>
      </c>
      <c r="R186" s="371" t="str">
        <f ca="1">IF($B$3&lt;&gt;"Passive",IFERROR(IF(ISNUMBER(INDEX(Active[M_NOAEL], 5)),
                          INDEX(Active[M_NOAEL], 5)/Q186,""),""),"")</f>
        <v/>
      </c>
    </row>
    <row r="187" spans="1:18">
      <c r="A187" s="56"/>
      <c r="B187" s="314" t="str">
        <f t="shared" ca="1" si="6"/>
        <v>No input</v>
      </c>
      <c r="C187" s="72" t="s">
        <v>167</v>
      </c>
      <c r="D187" s="73" t="s">
        <v>259</v>
      </c>
      <c r="E187" s="73" t="s">
        <v>273</v>
      </c>
      <c r="F187" s="113">
        <v>43.4</v>
      </c>
      <c r="G187" s="203" t="str">
        <f ca="1">IF(AND(Mammal_Chronic[[#This Row],[Relevance]]="Input provided", Count&gt;=1),
       IF(M_ChronicScheme="C(mix)",
                 HLOOKUP(Mammal_Chronic[[#This Row],[Crop]], Input_Scenario,10,FALSE)*Mammal_Chronic[[#This Row],[SVm]]*HLOOKUP(Mammal_Chronic[[#This Row],[Crop]],Input_Scenario,8,FALSE),""),"")</f>
        <v/>
      </c>
      <c r="H187" s="368" t="str">
        <f t="shared" si="7"/>
        <v/>
      </c>
      <c r="I187" s="370" t="str">
        <f>IFERROR(IF(Active1=TRUE,HLOOKUP(Mammal_Chronic[[#This Row],[Crop]],Input_Scenario,11,FALSE)*HLOOKUP(Mammal_Chronic[[#This Row],[Crop]],Input_Scenario,8,FALSE)*Mammal_Chronic[[#This Row],[SVm]],""),"")</f>
        <v/>
      </c>
      <c r="J187" s="370" t="str">
        <f t="shared" ca="1" si="8"/>
        <v/>
      </c>
      <c r="K187" s="370" t="str">
        <f>IFERROR(IF(Active2=TRUE,HLOOKUP(Mammal_Chronic[[#This Row],[Crop]],Input_Scenario,12,FALSE)*HLOOKUP(Mammal_Chronic[[#This Row],[Crop]],Input_Scenario,8,FALSE)*Mammal_Chronic[[#This Row],[SVm]],""),"")</f>
        <v/>
      </c>
      <c r="L187" s="370" t="str">
        <f ca="1">IF($B$3&lt;&gt;"Passive",IFERROR(IF(ISNUMBER(INDEX(Active[M_NOAEL], 2)),
                          INDEX(Active[M_NOAEL], 2)/K187,""),""),"")</f>
        <v/>
      </c>
      <c r="M187" s="370" t="str">
        <f>IFERROR(IF(Active3=TRUE,HLOOKUP(Mammal_Chronic[[#This Row],[Crop]],Input_Scenario,13,FALSE)*HLOOKUP(Mammal_Chronic[[#This Row],[Crop]],Input_Scenario,8,FALSE)*Mammal_Chronic[[#This Row],[SVm]],""),"")</f>
        <v/>
      </c>
      <c r="N187" s="370" t="str">
        <f ca="1">IF($B$3&lt;&gt;"Passive",IFERROR(IF(ISNUMBER(INDEX(Active[M_NOAEL], 3)),
                          INDEX(Active[M_NOAEL], 3)/M187,""),""),"")</f>
        <v/>
      </c>
      <c r="O187" s="370" t="str">
        <f>IFERROR(IF(Active4=TRUE,HLOOKUP(Mammal_Chronic[[#This Row],[Crop]],Input_Scenario,14,FALSE)*HLOOKUP(Mammal_Chronic[[#This Row],[Crop]],Input_Scenario,8,FALSE)*Mammal_Chronic[[#This Row],[SVm]],""),"")</f>
        <v/>
      </c>
      <c r="P187" s="370" t="str">
        <f ca="1">IF($B$3&lt;&gt;"Passive",IFERROR(IF(ISNUMBER(INDEX(Active[M_NOAEL], 4)),
                          INDEX(Active[M_NOAEL], 4)/O187,""),""),"")</f>
        <v/>
      </c>
      <c r="Q187" s="371" t="str">
        <f>IFERROR(IF(Active5=TRUE,HLOOKUP(Mammal_Chronic[[#This Row],[Crop]],Input_Scenario,15,FALSE)*HLOOKUP(Mammal_Chronic[[#This Row],[Crop]],Input_Scenario,8,FALSE)*Mammal_Chronic[[#This Row],[SVm]],""),"")</f>
        <v/>
      </c>
      <c r="R187" s="371" t="str">
        <f ca="1">IF($B$3&lt;&gt;"Passive",IFERROR(IF(ISNUMBER(INDEX(Active[M_NOAEL], 5)),
                          INDEX(Active[M_NOAEL], 5)/Q187,""),""),"")</f>
        <v/>
      </c>
    </row>
    <row r="188" spans="1:18">
      <c r="A188" s="56"/>
      <c r="B188" s="314" t="str">
        <f t="shared" ca="1" si="6"/>
        <v>No input</v>
      </c>
      <c r="C188" s="72" t="s">
        <v>167</v>
      </c>
      <c r="D188" s="73" t="s">
        <v>259</v>
      </c>
      <c r="E188" s="73" t="s">
        <v>275</v>
      </c>
      <c r="F188" s="113">
        <v>8.6</v>
      </c>
      <c r="G188" s="203" t="str">
        <f ca="1">IF(AND(Mammal_Chronic[[#This Row],[Relevance]]="Input provided", Count&gt;=1),
       IF(M_ChronicScheme="C(mix)",
                 HLOOKUP(Mammal_Chronic[[#This Row],[Crop]], Input_Scenario,10,FALSE)*Mammal_Chronic[[#This Row],[SVm]]*HLOOKUP(Mammal_Chronic[[#This Row],[Crop]],Input_Scenario,8,FALSE),""),"")</f>
        <v/>
      </c>
      <c r="H188" s="368" t="str">
        <f t="shared" si="7"/>
        <v/>
      </c>
      <c r="I188" s="370" t="str">
        <f>IFERROR(IF(Active1=TRUE,HLOOKUP(Mammal_Chronic[[#This Row],[Crop]],Input_Scenario,11,FALSE)*HLOOKUP(Mammal_Chronic[[#This Row],[Crop]],Input_Scenario,8,FALSE)*Mammal_Chronic[[#This Row],[SVm]],""),"")</f>
        <v/>
      </c>
      <c r="J188" s="370" t="str">
        <f t="shared" ca="1" si="8"/>
        <v/>
      </c>
      <c r="K188" s="370" t="str">
        <f>IFERROR(IF(Active2=TRUE,HLOOKUP(Mammal_Chronic[[#This Row],[Crop]],Input_Scenario,12,FALSE)*HLOOKUP(Mammal_Chronic[[#This Row],[Crop]],Input_Scenario,8,FALSE)*Mammal_Chronic[[#This Row],[SVm]],""),"")</f>
        <v/>
      </c>
      <c r="L188" s="370" t="str">
        <f ca="1">IF($B$3&lt;&gt;"Passive",IFERROR(IF(ISNUMBER(INDEX(Active[M_NOAEL], 2)),
                          INDEX(Active[M_NOAEL], 2)/K188,""),""),"")</f>
        <v/>
      </c>
      <c r="M188" s="370" t="str">
        <f>IFERROR(IF(Active3=TRUE,HLOOKUP(Mammal_Chronic[[#This Row],[Crop]],Input_Scenario,13,FALSE)*HLOOKUP(Mammal_Chronic[[#This Row],[Crop]],Input_Scenario,8,FALSE)*Mammal_Chronic[[#This Row],[SVm]],""),"")</f>
        <v/>
      </c>
      <c r="N188" s="370" t="str">
        <f ca="1">IF($B$3&lt;&gt;"Passive",IFERROR(IF(ISNUMBER(INDEX(Active[M_NOAEL], 3)),
                          INDEX(Active[M_NOAEL], 3)/M188,""),""),"")</f>
        <v/>
      </c>
      <c r="O188" s="370" t="str">
        <f>IFERROR(IF(Active4=TRUE,HLOOKUP(Mammal_Chronic[[#This Row],[Crop]],Input_Scenario,14,FALSE)*HLOOKUP(Mammal_Chronic[[#This Row],[Crop]],Input_Scenario,8,FALSE)*Mammal_Chronic[[#This Row],[SVm]],""),"")</f>
        <v/>
      </c>
      <c r="P188" s="370" t="str">
        <f ca="1">IF($B$3&lt;&gt;"Passive",IFERROR(IF(ISNUMBER(INDEX(Active[M_NOAEL], 4)),
                          INDEX(Active[M_NOAEL], 4)/O188,""),""),"")</f>
        <v/>
      </c>
      <c r="Q188" s="371" t="str">
        <f>IFERROR(IF(Active5=TRUE,HLOOKUP(Mammal_Chronic[[#This Row],[Crop]],Input_Scenario,15,FALSE)*HLOOKUP(Mammal_Chronic[[#This Row],[Crop]],Input_Scenario,8,FALSE)*Mammal_Chronic[[#This Row],[SVm]],""),"")</f>
        <v/>
      </c>
      <c r="R188" s="371" t="str">
        <f ca="1">IF($B$3&lt;&gt;"Passive",IFERROR(IF(ISNUMBER(INDEX(Active[M_NOAEL], 5)),
                          INDEX(Active[M_NOAEL], 5)/Q188,""),""),"")</f>
        <v/>
      </c>
    </row>
    <row r="189" spans="1:18">
      <c r="A189" s="56"/>
      <c r="B189" s="314" t="str">
        <f t="shared" ca="1" si="6"/>
        <v>No input</v>
      </c>
      <c r="C189" s="72" t="s">
        <v>167</v>
      </c>
      <c r="D189" s="73" t="s">
        <v>259</v>
      </c>
      <c r="E189" s="73" t="s">
        <v>271</v>
      </c>
      <c r="F189" s="113">
        <v>4.7</v>
      </c>
      <c r="G189" s="203" t="str">
        <f ca="1">IF(AND(Mammal_Chronic[[#This Row],[Relevance]]="Input provided", Count&gt;=1),
       IF(M_ChronicScheme="C(mix)",
                 HLOOKUP(Mammal_Chronic[[#This Row],[Crop]], Input_Scenario,10,FALSE)*Mammal_Chronic[[#This Row],[SVm]]*HLOOKUP(Mammal_Chronic[[#This Row],[Crop]],Input_Scenario,8,FALSE),""),"")</f>
        <v/>
      </c>
      <c r="H189" s="368" t="str">
        <f t="shared" si="7"/>
        <v/>
      </c>
      <c r="I189" s="370" t="str">
        <f>IFERROR(IF(Active1=TRUE,HLOOKUP(Mammal_Chronic[[#This Row],[Crop]],Input_Scenario,11,FALSE)*HLOOKUP(Mammal_Chronic[[#This Row],[Crop]],Input_Scenario,8,FALSE)*Mammal_Chronic[[#This Row],[SVm]],""),"")</f>
        <v/>
      </c>
      <c r="J189" s="370" t="str">
        <f t="shared" ca="1" si="8"/>
        <v/>
      </c>
      <c r="K189" s="370" t="str">
        <f>IFERROR(IF(Active2=TRUE,HLOOKUP(Mammal_Chronic[[#This Row],[Crop]],Input_Scenario,12,FALSE)*HLOOKUP(Mammal_Chronic[[#This Row],[Crop]],Input_Scenario,8,FALSE)*Mammal_Chronic[[#This Row],[SVm]],""),"")</f>
        <v/>
      </c>
      <c r="L189" s="370" t="str">
        <f ca="1">IF($B$3&lt;&gt;"Passive",IFERROR(IF(ISNUMBER(INDEX(Active[M_NOAEL], 2)),
                          INDEX(Active[M_NOAEL], 2)/K189,""),""),"")</f>
        <v/>
      </c>
      <c r="M189" s="370" t="str">
        <f>IFERROR(IF(Active3=TRUE,HLOOKUP(Mammal_Chronic[[#This Row],[Crop]],Input_Scenario,13,FALSE)*HLOOKUP(Mammal_Chronic[[#This Row],[Crop]],Input_Scenario,8,FALSE)*Mammal_Chronic[[#This Row],[SVm]],""),"")</f>
        <v/>
      </c>
      <c r="N189" s="370" t="str">
        <f ca="1">IF($B$3&lt;&gt;"Passive",IFERROR(IF(ISNUMBER(INDEX(Active[M_NOAEL], 3)),
                          INDEX(Active[M_NOAEL], 3)/M189,""),""),"")</f>
        <v/>
      </c>
      <c r="O189" s="370" t="str">
        <f>IFERROR(IF(Active4=TRUE,HLOOKUP(Mammal_Chronic[[#This Row],[Crop]],Input_Scenario,14,FALSE)*HLOOKUP(Mammal_Chronic[[#This Row],[Crop]],Input_Scenario,8,FALSE)*Mammal_Chronic[[#This Row],[SVm]],""),"")</f>
        <v/>
      </c>
      <c r="P189" s="370" t="str">
        <f ca="1">IF($B$3&lt;&gt;"Passive",IFERROR(IF(ISNUMBER(INDEX(Active[M_NOAEL], 4)),
                          INDEX(Active[M_NOAEL], 4)/O189,""),""),"")</f>
        <v/>
      </c>
      <c r="Q189" s="371" t="str">
        <f>IFERROR(IF(Active5=TRUE,HLOOKUP(Mammal_Chronic[[#This Row],[Crop]],Input_Scenario,15,FALSE)*HLOOKUP(Mammal_Chronic[[#This Row],[Crop]],Input_Scenario,8,FALSE)*Mammal_Chronic[[#This Row],[SVm]],""),"")</f>
        <v/>
      </c>
      <c r="R189" s="371" t="str">
        <f ca="1">IF($B$3&lt;&gt;"Passive",IFERROR(IF(ISNUMBER(INDEX(Active[M_NOAEL], 5)),
                          INDEX(Active[M_NOAEL], 5)/Q189,""),""),"")</f>
        <v/>
      </c>
    </row>
    <row r="190" spans="1:18">
      <c r="A190" s="56"/>
      <c r="B190" s="314" t="str">
        <f t="shared" ca="1" si="6"/>
        <v>No input</v>
      </c>
      <c r="C190" s="72" t="s">
        <v>167</v>
      </c>
      <c r="D190" s="73" t="s">
        <v>245</v>
      </c>
      <c r="E190" s="73" t="s">
        <v>278</v>
      </c>
      <c r="F190" s="113">
        <v>22.7</v>
      </c>
      <c r="G190" s="203" t="str">
        <f ca="1">IF(AND(Mammal_Chronic[[#This Row],[Relevance]]="Input provided", Count&gt;=1),
       IF(M_ChronicScheme="C(mix)",
                 HLOOKUP(Mammal_Chronic[[#This Row],[Crop]], Input_Scenario,10,FALSE)*Mammal_Chronic[[#This Row],[SVm]]*HLOOKUP(Mammal_Chronic[[#This Row],[Crop]],Input_Scenario,8,FALSE),""),"")</f>
        <v/>
      </c>
      <c r="H190" s="368" t="str">
        <f t="shared" si="7"/>
        <v/>
      </c>
      <c r="I190" s="370" t="str">
        <f>IFERROR(IF(Active1=TRUE,HLOOKUP(Mammal_Chronic[[#This Row],[Crop]],Input_Scenario,11,FALSE)*HLOOKUP(Mammal_Chronic[[#This Row],[Crop]],Input_Scenario,8,FALSE)*Mammal_Chronic[[#This Row],[SVm]],""),"")</f>
        <v/>
      </c>
      <c r="J190" s="370" t="str">
        <f t="shared" ca="1" si="8"/>
        <v/>
      </c>
      <c r="K190" s="370" t="str">
        <f>IFERROR(IF(Active2=TRUE,HLOOKUP(Mammal_Chronic[[#This Row],[Crop]],Input_Scenario,12,FALSE)*HLOOKUP(Mammal_Chronic[[#This Row],[Crop]],Input_Scenario,8,FALSE)*Mammal_Chronic[[#This Row],[SVm]],""),"")</f>
        <v/>
      </c>
      <c r="L190" s="370" t="str">
        <f ca="1">IF($B$3&lt;&gt;"Passive",IFERROR(IF(ISNUMBER(INDEX(Active[M_NOAEL], 2)),
                          INDEX(Active[M_NOAEL], 2)/K190,""),""),"")</f>
        <v/>
      </c>
      <c r="M190" s="370" t="str">
        <f>IFERROR(IF(Active3=TRUE,HLOOKUP(Mammal_Chronic[[#This Row],[Crop]],Input_Scenario,13,FALSE)*HLOOKUP(Mammal_Chronic[[#This Row],[Crop]],Input_Scenario,8,FALSE)*Mammal_Chronic[[#This Row],[SVm]],""),"")</f>
        <v/>
      </c>
      <c r="N190" s="370" t="str">
        <f ca="1">IF($B$3&lt;&gt;"Passive",IFERROR(IF(ISNUMBER(INDEX(Active[M_NOAEL], 3)),
                          INDEX(Active[M_NOAEL], 3)/M190,""),""),"")</f>
        <v/>
      </c>
      <c r="O190" s="370" t="str">
        <f>IFERROR(IF(Active4=TRUE,HLOOKUP(Mammal_Chronic[[#This Row],[Crop]],Input_Scenario,14,FALSE)*HLOOKUP(Mammal_Chronic[[#This Row],[Crop]],Input_Scenario,8,FALSE)*Mammal_Chronic[[#This Row],[SVm]],""),"")</f>
        <v/>
      </c>
      <c r="P190" s="370" t="str">
        <f ca="1">IF($B$3&lt;&gt;"Passive",IFERROR(IF(ISNUMBER(INDEX(Active[M_NOAEL], 4)),
                          INDEX(Active[M_NOAEL], 4)/O190,""),""),"")</f>
        <v/>
      </c>
      <c r="Q190" s="371" t="str">
        <f>IFERROR(IF(Active5=TRUE,HLOOKUP(Mammal_Chronic[[#This Row],[Crop]],Input_Scenario,15,FALSE)*HLOOKUP(Mammal_Chronic[[#This Row],[Crop]],Input_Scenario,8,FALSE)*Mammal_Chronic[[#This Row],[SVm]],""),"")</f>
        <v/>
      </c>
      <c r="R190" s="371" t="str">
        <f ca="1">IF($B$3&lt;&gt;"Passive",IFERROR(IF(ISNUMBER(INDEX(Active[M_NOAEL], 5)),
                          INDEX(Active[M_NOAEL], 5)/Q190,""),""),"")</f>
        <v/>
      </c>
    </row>
    <row r="191" spans="1:18">
      <c r="A191" s="56"/>
      <c r="B191" s="314" t="str">
        <f t="shared" ca="1" si="6"/>
        <v>No input</v>
      </c>
      <c r="C191" s="72" t="s">
        <v>167</v>
      </c>
      <c r="D191" s="73" t="s">
        <v>261</v>
      </c>
      <c r="E191" s="73" t="s">
        <v>272</v>
      </c>
      <c r="F191" s="113">
        <v>1.9</v>
      </c>
      <c r="G191" s="203" t="str">
        <f ca="1">IF(AND(Mammal_Chronic[[#This Row],[Relevance]]="Input provided", Count&gt;=1),
       IF(M_ChronicScheme="C(mix)",
                 HLOOKUP(Mammal_Chronic[[#This Row],[Crop]], Input_Scenario,10,FALSE)*Mammal_Chronic[[#This Row],[SVm]]*HLOOKUP(Mammal_Chronic[[#This Row],[Crop]],Input_Scenario,8,FALSE),""),"")</f>
        <v/>
      </c>
      <c r="H191" s="368" t="str">
        <f t="shared" si="7"/>
        <v/>
      </c>
      <c r="I191" s="370" t="str">
        <f>IFERROR(IF(Active1=TRUE,HLOOKUP(Mammal_Chronic[[#This Row],[Crop]],Input_Scenario,11,FALSE)*HLOOKUP(Mammal_Chronic[[#This Row],[Crop]],Input_Scenario,8,FALSE)*Mammal_Chronic[[#This Row],[SVm]],""),"")</f>
        <v/>
      </c>
      <c r="J191" s="370" t="str">
        <f t="shared" ca="1" si="8"/>
        <v/>
      </c>
      <c r="K191" s="370" t="str">
        <f>IFERROR(IF(Active2=TRUE,HLOOKUP(Mammal_Chronic[[#This Row],[Crop]],Input_Scenario,12,FALSE)*HLOOKUP(Mammal_Chronic[[#This Row],[Crop]],Input_Scenario,8,FALSE)*Mammal_Chronic[[#This Row],[SVm]],""),"")</f>
        <v/>
      </c>
      <c r="L191" s="370" t="str">
        <f ca="1">IF($B$3&lt;&gt;"Passive",IFERROR(IF(ISNUMBER(INDEX(Active[M_NOAEL], 2)),
                          INDEX(Active[M_NOAEL], 2)/K191,""),""),"")</f>
        <v/>
      </c>
      <c r="M191" s="370" t="str">
        <f>IFERROR(IF(Active3=TRUE,HLOOKUP(Mammal_Chronic[[#This Row],[Crop]],Input_Scenario,13,FALSE)*HLOOKUP(Mammal_Chronic[[#This Row],[Crop]],Input_Scenario,8,FALSE)*Mammal_Chronic[[#This Row],[SVm]],""),"")</f>
        <v/>
      </c>
      <c r="N191" s="370" t="str">
        <f ca="1">IF($B$3&lt;&gt;"Passive",IFERROR(IF(ISNUMBER(INDEX(Active[M_NOAEL], 3)),
                          INDEX(Active[M_NOAEL], 3)/M191,""),""),"")</f>
        <v/>
      </c>
      <c r="O191" s="370" t="str">
        <f>IFERROR(IF(Active4=TRUE,HLOOKUP(Mammal_Chronic[[#This Row],[Crop]],Input_Scenario,14,FALSE)*HLOOKUP(Mammal_Chronic[[#This Row],[Crop]],Input_Scenario,8,FALSE)*Mammal_Chronic[[#This Row],[SVm]],""),"")</f>
        <v/>
      </c>
      <c r="P191" s="370" t="str">
        <f ca="1">IF($B$3&lt;&gt;"Passive",IFERROR(IF(ISNUMBER(INDEX(Active[M_NOAEL], 4)),
                          INDEX(Active[M_NOAEL], 4)/O191,""),""),"")</f>
        <v/>
      </c>
      <c r="Q191" s="371" t="str">
        <f>IFERROR(IF(Active5=TRUE,HLOOKUP(Mammal_Chronic[[#This Row],[Crop]],Input_Scenario,15,FALSE)*HLOOKUP(Mammal_Chronic[[#This Row],[Crop]],Input_Scenario,8,FALSE)*Mammal_Chronic[[#This Row],[SVm]],""),"")</f>
        <v/>
      </c>
      <c r="R191" s="371" t="str">
        <f ca="1">IF($B$3&lt;&gt;"Passive",IFERROR(IF(ISNUMBER(INDEX(Active[M_NOAEL], 5)),
                          INDEX(Active[M_NOAEL], 5)/Q191,""),""),"")</f>
        <v/>
      </c>
    </row>
    <row r="192" spans="1:18">
      <c r="A192" s="56"/>
      <c r="B192" s="314" t="str">
        <f t="shared" ca="1" si="6"/>
        <v>No input</v>
      </c>
      <c r="C192" s="72" t="s">
        <v>167</v>
      </c>
      <c r="D192" s="73" t="s">
        <v>261</v>
      </c>
      <c r="E192" s="73" t="s">
        <v>273</v>
      </c>
      <c r="F192" s="113">
        <v>72.3</v>
      </c>
      <c r="G192" s="203" t="str">
        <f ca="1">IF(AND(Mammal_Chronic[[#This Row],[Relevance]]="Input provided", Count&gt;=1),
       IF(M_ChronicScheme="C(mix)",
                 HLOOKUP(Mammal_Chronic[[#This Row],[Crop]], Input_Scenario,10,FALSE)*Mammal_Chronic[[#This Row],[SVm]]*HLOOKUP(Mammal_Chronic[[#This Row],[Crop]],Input_Scenario,8,FALSE),""),"")</f>
        <v/>
      </c>
      <c r="H192" s="368" t="str">
        <f t="shared" si="7"/>
        <v/>
      </c>
      <c r="I192" s="370" t="str">
        <f>IFERROR(IF(Active1=TRUE,HLOOKUP(Mammal_Chronic[[#This Row],[Crop]],Input_Scenario,11,FALSE)*HLOOKUP(Mammal_Chronic[[#This Row],[Crop]],Input_Scenario,8,FALSE)*Mammal_Chronic[[#This Row],[SVm]],""),"")</f>
        <v/>
      </c>
      <c r="J192" s="370" t="str">
        <f t="shared" ca="1" si="8"/>
        <v/>
      </c>
      <c r="K192" s="370" t="str">
        <f>IFERROR(IF(Active2=TRUE,HLOOKUP(Mammal_Chronic[[#This Row],[Crop]],Input_Scenario,12,FALSE)*HLOOKUP(Mammal_Chronic[[#This Row],[Crop]],Input_Scenario,8,FALSE)*Mammal_Chronic[[#This Row],[SVm]],""),"")</f>
        <v/>
      </c>
      <c r="L192" s="370" t="str">
        <f ca="1">IF($B$3&lt;&gt;"Passive",IFERROR(IF(ISNUMBER(INDEX(Active[M_NOAEL], 2)),
                          INDEX(Active[M_NOAEL], 2)/K192,""),""),"")</f>
        <v/>
      </c>
      <c r="M192" s="370" t="str">
        <f>IFERROR(IF(Active3=TRUE,HLOOKUP(Mammal_Chronic[[#This Row],[Crop]],Input_Scenario,13,FALSE)*HLOOKUP(Mammal_Chronic[[#This Row],[Crop]],Input_Scenario,8,FALSE)*Mammal_Chronic[[#This Row],[SVm]],""),"")</f>
        <v/>
      </c>
      <c r="N192" s="370" t="str">
        <f ca="1">IF($B$3&lt;&gt;"Passive",IFERROR(IF(ISNUMBER(INDEX(Active[M_NOAEL], 3)),
                          INDEX(Active[M_NOAEL], 3)/M192,""),""),"")</f>
        <v/>
      </c>
      <c r="O192" s="370" t="str">
        <f>IFERROR(IF(Active4=TRUE,HLOOKUP(Mammal_Chronic[[#This Row],[Crop]],Input_Scenario,14,FALSE)*HLOOKUP(Mammal_Chronic[[#This Row],[Crop]],Input_Scenario,8,FALSE)*Mammal_Chronic[[#This Row],[SVm]],""),"")</f>
        <v/>
      </c>
      <c r="P192" s="370" t="str">
        <f ca="1">IF($B$3&lt;&gt;"Passive",IFERROR(IF(ISNUMBER(INDEX(Active[M_NOAEL], 4)),
                          INDEX(Active[M_NOAEL], 4)/O192,""),""),"")</f>
        <v/>
      </c>
      <c r="Q192" s="371" t="str">
        <f>IFERROR(IF(Active5=TRUE,HLOOKUP(Mammal_Chronic[[#This Row],[Crop]],Input_Scenario,15,FALSE)*HLOOKUP(Mammal_Chronic[[#This Row],[Crop]],Input_Scenario,8,FALSE)*Mammal_Chronic[[#This Row],[SVm]],""),"")</f>
        <v/>
      </c>
      <c r="R192" s="371" t="str">
        <f ca="1">IF($B$3&lt;&gt;"Passive",IFERROR(IF(ISNUMBER(INDEX(Active[M_NOAEL], 5)),
                          INDEX(Active[M_NOAEL], 5)/Q192,""),""),"")</f>
        <v/>
      </c>
    </row>
    <row r="193" spans="1:18">
      <c r="A193" s="56"/>
      <c r="B193" s="314" t="str">
        <f t="shared" ca="1" si="6"/>
        <v>No input</v>
      </c>
      <c r="C193" s="72" t="s">
        <v>167</v>
      </c>
      <c r="D193" s="73" t="s">
        <v>261</v>
      </c>
      <c r="E193" s="73" t="s">
        <v>275</v>
      </c>
      <c r="F193" s="113">
        <v>14.3</v>
      </c>
      <c r="G193" s="203" t="str">
        <f ca="1">IF(AND(Mammal_Chronic[[#This Row],[Relevance]]="Input provided", Count&gt;=1),
       IF(M_ChronicScheme="C(mix)",
                 HLOOKUP(Mammal_Chronic[[#This Row],[Crop]], Input_Scenario,10,FALSE)*Mammal_Chronic[[#This Row],[SVm]]*HLOOKUP(Mammal_Chronic[[#This Row],[Crop]],Input_Scenario,8,FALSE),""),"")</f>
        <v/>
      </c>
      <c r="H193" s="368" t="str">
        <f t="shared" si="7"/>
        <v/>
      </c>
      <c r="I193" s="370" t="str">
        <f>IFERROR(IF(Active1=TRUE,HLOOKUP(Mammal_Chronic[[#This Row],[Crop]],Input_Scenario,11,FALSE)*HLOOKUP(Mammal_Chronic[[#This Row],[Crop]],Input_Scenario,8,FALSE)*Mammal_Chronic[[#This Row],[SVm]],""),"")</f>
        <v/>
      </c>
      <c r="J193" s="370" t="str">
        <f t="shared" ca="1" si="8"/>
        <v/>
      </c>
      <c r="K193" s="370" t="str">
        <f>IFERROR(IF(Active2=TRUE,HLOOKUP(Mammal_Chronic[[#This Row],[Crop]],Input_Scenario,12,FALSE)*HLOOKUP(Mammal_Chronic[[#This Row],[Crop]],Input_Scenario,8,FALSE)*Mammal_Chronic[[#This Row],[SVm]],""),"")</f>
        <v/>
      </c>
      <c r="L193" s="370" t="str">
        <f ca="1">IF($B$3&lt;&gt;"Passive",IFERROR(IF(ISNUMBER(INDEX(Active[M_NOAEL], 2)),
                          INDEX(Active[M_NOAEL], 2)/K193,""),""),"")</f>
        <v/>
      </c>
      <c r="M193" s="370" t="str">
        <f>IFERROR(IF(Active3=TRUE,HLOOKUP(Mammal_Chronic[[#This Row],[Crop]],Input_Scenario,13,FALSE)*HLOOKUP(Mammal_Chronic[[#This Row],[Crop]],Input_Scenario,8,FALSE)*Mammal_Chronic[[#This Row],[SVm]],""),"")</f>
        <v/>
      </c>
      <c r="N193" s="370" t="str">
        <f ca="1">IF($B$3&lt;&gt;"Passive",IFERROR(IF(ISNUMBER(INDEX(Active[M_NOAEL], 3)),
                          INDEX(Active[M_NOAEL], 3)/M193,""),""),"")</f>
        <v/>
      </c>
      <c r="O193" s="370" t="str">
        <f>IFERROR(IF(Active4=TRUE,HLOOKUP(Mammal_Chronic[[#This Row],[Crop]],Input_Scenario,14,FALSE)*HLOOKUP(Mammal_Chronic[[#This Row],[Crop]],Input_Scenario,8,FALSE)*Mammal_Chronic[[#This Row],[SVm]],""),"")</f>
        <v/>
      </c>
      <c r="P193" s="370" t="str">
        <f ca="1">IF($B$3&lt;&gt;"Passive",IFERROR(IF(ISNUMBER(INDEX(Active[M_NOAEL], 4)),
                          INDEX(Active[M_NOAEL], 4)/O193,""),""),"")</f>
        <v/>
      </c>
      <c r="Q193" s="371" t="str">
        <f>IFERROR(IF(Active5=TRUE,HLOOKUP(Mammal_Chronic[[#This Row],[Crop]],Input_Scenario,15,FALSE)*HLOOKUP(Mammal_Chronic[[#This Row],[Crop]],Input_Scenario,8,FALSE)*Mammal_Chronic[[#This Row],[SVm]],""),"")</f>
        <v/>
      </c>
      <c r="R193" s="371" t="str">
        <f ca="1">IF($B$3&lt;&gt;"Passive",IFERROR(IF(ISNUMBER(INDEX(Active[M_NOAEL], 5)),
                          INDEX(Active[M_NOAEL], 5)/Q193,""),""),"")</f>
        <v/>
      </c>
    </row>
    <row r="194" spans="1:18">
      <c r="A194" s="56"/>
      <c r="B194" s="314" t="str">
        <f t="shared" ca="1" si="6"/>
        <v>No input</v>
      </c>
      <c r="C194" s="72" t="s">
        <v>167</v>
      </c>
      <c r="D194" s="73" t="s">
        <v>261</v>
      </c>
      <c r="E194" s="73" t="s">
        <v>271</v>
      </c>
      <c r="F194" s="113">
        <v>7.8</v>
      </c>
      <c r="G194" s="203" t="str">
        <f ca="1">IF(AND(Mammal_Chronic[[#This Row],[Relevance]]="Input provided", Count&gt;=1),
       IF(M_ChronicScheme="C(mix)",
                 HLOOKUP(Mammal_Chronic[[#This Row],[Crop]], Input_Scenario,10,FALSE)*Mammal_Chronic[[#This Row],[SVm]]*HLOOKUP(Mammal_Chronic[[#This Row],[Crop]],Input_Scenario,8,FALSE),""),"")</f>
        <v/>
      </c>
      <c r="H194" s="368" t="str">
        <f t="shared" si="7"/>
        <v/>
      </c>
      <c r="I194" s="370" t="str">
        <f>IFERROR(IF(Active1=TRUE,HLOOKUP(Mammal_Chronic[[#This Row],[Crop]],Input_Scenario,11,FALSE)*HLOOKUP(Mammal_Chronic[[#This Row],[Crop]],Input_Scenario,8,FALSE)*Mammal_Chronic[[#This Row],[SVm]],""),"")</f>
        <v/>
      </c>
      <c r="J194" s="370" t="str">
        <f t="shared" ca="1" si="8"/>
        <v/>
      </c>
      <c r="K194" s="370" t="str">
        <f>IFERROR(IF(Active2=TRUE,HLOOKUP(Mammal_Chronic[[#This Row],[Crop]],Input_Scenario,12,FALSE)*HLOOKUP(Mammal_Chronic[[#This Row],[Crop]],Input_Scenario,8,FALSE)*Mammal_Chronic[[#This Row],[SVm]],""),"")</f>
        <v/>
      </c>
      <c r="L194" s="370" t="str">
        <f ca="1">IF($B$3&lt;&gt;"Passive",IFERROR(IF(ISNUMBER(INDEX(Active[M_NOAEL], 2)),
                          INDEX(Active[M_NOAEL], 2)/K194,""),""),"")</f>
        <v/>
      </c>
      <c r="M194" s="370" t="str">
        <f>IFERROR(IF(Active3=TRUE,HLOOKUP(Mammal_Chronic[[#This Row],[Crop]],Input_Scenario,13,FALSE)*HLOOKUP(Mammal_Chronic[[#This Row],[Crop]],Input_Scenario,8,FALSE)*Mammal_Chronic[[#This Row],[SVm]],""),"")</f>
        <v/>
      </c>
      <c r="N194" s="370" t="str">
        <f ca="1">IF($B$3&lt;&gt;"Passive",IFERROR(IF(ISNUMBER(INDEX(Active[M_NOAEL], 3)),
                          INDEX(Active[M_NOAEL], 3)/M194,""),""),"")</f>
        <v/>
      </c>
      <c r="O194" s="370" t="str">
        <f>IFERROR(IF(Active4=TRUE,HLOOKUP(Mammal_Chronic[[#This Row],[Crop]],Input_Scenario,14,FALSE)*HLOOKUP(Mammal_Chronic[[#This Row],[Crop]],Input_Scenario,8,FALSE)*Mammal_Chronic[[#This Row],[SVm]],""),"")</f>
        <v/>
      </c>
      <c r="P194" s="370" t="str">
        <f ca="1">IF($B$3&lt;&gt;"Passive",IFERROR(IF(ISNUMBER(INDEX(Active[M_NOAEL], 4)),
                          INDEX(Active[M_NOAEL], 4)/O194,""),""),"")</f>
        <v/>
      </c>
      <c r="Q194" s="371" t="str">
        <f>IFERROR(IF(Active5=TRUE,HLOOKUP(Mammal_Chronic[[#This Row],[Crop]],Input_Scenario,15,FALSE)*HLOOKUP(Mammal_Chronic[[#This Row],[Crop]],Input_Scenario,8,FALSE)*Mammal_Chronic[[#This Row],[SVm]],""),"")</f>
        <v/>
      </c>
      <c r="R194" s="371" t="str">
        <f ca="1">IF($B$3&lt;&gt;"Passive",IFERROR(IF(ISNUMBER(INDEX(Active[M_NOAEL], 5)),
                          INDEX(Active[M_NOAEL], 5)/Q194,""),""),"")</f>
        <v/>
      </c>
    </row>
    <row r="195" spans="1:18">
      <c r="A195" s="56"/>
      <c r="B195" s="314" t="str">
        <f t="shared" ca="1" si="6"/>
        <v>No input</v>
      </c>
      <c r="C195" s="72" t="s">
        <v>167</v>
      </c>
      <c r="D195" s="73" t="s">
        <v>173</v>
      </c>
      <c r="E195" s="73" t="s">
        <v>275</v>
      </c>
      <c r="F195" s="113">
        <v>4.3</v>
      </c>
      <c r="G195" s="203" t="str">
        <f ca="1">IF(AND(Mammal_Chronic[[#This Row],[Relevance]]="Input provided", Count&gt;=1),
       IF(M_ChronicScheme="C(mix)",
                 HLOOKUP(Mammal_Chronic[[#This Row],[Crop]], Input_Scenario,10,FALSE)*Mammal_Chronic[[#This Row],[SVm]]*HLOOKUP(Mammal_Chronic[[#This Row],[Crop]],Input_Scenario,8,FALSE),""),"")</f>
        <v/>
      </c>
      <c r="H195" s="368" t="str">
        <f t="shared" si="7"/>
        <v/>
      </c>
      <c r="I195" s="370" t="str">
        <f>IFERROR(IF(Active1=TRUE,HLOOKUP(Mammal_Chronic[[#This Row],[Crop]],Input_Scenario,11,FALSE)*HLOOKUP(Mammal_Chronic[[#This Row],[Crop]],Input_Scenario,8,FALSE)*Mammal_Chronic[[#This Row],[SVm]],""),"")</f>
        <v/>
      </c>
      <c r="J195" s="370" t="str">
        <f t="shared" ca="1" si="8"/>
        <v/>
      </c>
      <c r="K195" s="370" t="str">
        <f>IFERROR(IF(Active2=TRUE,HLOOKUP(Mammal_Chronic[[#This Row],[Crop]],Input_Scenario,12,FALSE)*HLOOKUP(Mammal_Chronic[[#This Row],[Crop]],Input_Scenario,8,FALSE)*Mammal_Chronic[[#This Row],[SVm]],""),"")</f>
        <v/>
      </c>
      <c r="L195" s="370" t="str">
        <f ca="1">IF($B$3&lt;&gt;"Passive",IFERROR(IF(ISNUMBER(INDEX(Active[M_NOAEL], 2)),
                          INDEX(Active[M_NOAEL], 2)/K195,""),""),"")</f>
        <v/>
      </c>
      <c r="M195" s="370" t="str">
        <f>IFERROR(IF(Active3=TRUE,HLOOKUP(Mammal_Chronic[[#This Row],[Crop]],Input_Scenario,13,FALSE)*HLOOKUP(Mammal_Chronic[[#This Row],[Crop]],Input_Scenario,8,FALSE)*Mammal_Chronic[[#This Row],[SVm]],""),"")</f>
        <v/>
      </c>
      <c r="N195" s="370" t="str">
        <f ca="1">IF($B$3&lt;&gt;"Passive",IFERROR(IF(ISNUMBER(INDEX(Active[M_NOAEL], 3)),
                          INDEX(Active[M_NOAEL], 3)/M195,""),""),"")</f>
        <v/>
      </c>
      <c r="O195" s="370" t="str">
        <f>IFERROR(IF(Active4=TRUE,HLOOKUP(Mammal_Chronic[[#This Row],[Crop]],Input_Scenario,14,FALSE)*HLOOKUP(Mammal_Chronic[[#This Row],[Crop]],Input_Scenario,8,FALSE)*Mammal_Chronic[[#This Row],[SVm]],""),"")</f>
        <v/>
      </c>
      <c r="P195" s="370" t="str">
        <f ca="1">IF($B$3&lt;&gt;"Passive",IFERROR(IF(ISNUMBER(INDEX(Active[M_NOAEL], 4)),
                          INDEX(Active[M_NOAEL], 4)/O195,""),""),"")</f>
        <v/>
      </c>
      <c r="Q195" s="371" t="str">
        <f>IFERROR(IF(Active5=TRUE,HLOOKUP(Mammal_Chronic[[#This Row],[Crop]],Input_Scenario,15,FALSE)*HLOOKUP(Mammal_Chronic[[#This Row],[Crop]],Input_Scenario,8,FALSE)*Mammal_Chronic[[#This Row],[SVm]],""),"")</f>
        <v/>
      </c>
      <c r="R195" s="371" t="str">
        <f ca="1">IF($B$3&lt;&gt;"Passive",IFERROR(IF(ISNUMBER(INDEX(Active[M_NOAEL], 5)),
                          INDEX(Active[M_NOAEL], 5)/Q195,""),""),"")</f>
        <v/>
      </c>
    </row>
    <row r="196" spans="1:18">
      <c r="A196" s="56"/>
      <c r="B196" s="314" t="str">
        <f t="shared" ca="1" si="6"/>
        <v>No input</v>
      </c>
      <c r="C196" s="72" t="s">
        <v>167</v>
      </c>
      <c r="D196" s="73" t="s">
        <v>173</v>
      </c>
      <c r="E196" s="73" t="s">
        <v>273</v>
      </c>
      <c r="F196" s="113">
        <v>21.7</v>
      </c>
      <c r="G196" s="203" t="str">
        <f ca="1">IF(AND(Mammal_Chronic[[#This Row],[Relevance]]="Input provided", Count&gt;=1),
       IF(M_ChronicScheme="C(mix)",
                 HLOOKUP(Mammal_Chronic[[#This Row],[Crop]], Input_Scenario,10,FALSE)*Mammal_Chronic[[#This Row],[SVm]]*HLOOKUP(Mammal_Chronic[[#This Row],[Crop]],Input_Scenario,8,FALSE),""),"")</f>
        <v/>
      </c>
      <c r="H196" s="368" t="str">
        <f t="shared" si="7"/>
        <v/>
      </c>
      <c r="I196" s="370" t="str">
        <f>IFERROR(IF(Active1=TRUE,HLOOKUP(Mammal_Chronic[[#This Row],[Crop]],Input_Scenario,11,FALSE)*HLOOKUP(Mammal_Chronic[[#This Row],[Crop]],Input_Scenario,8,FALSE)*Mammal_Chronic[[#This Row],[SVm]],""),"")</f>
        <v/>
      </c>
      <c r="J196" s="370" t="str">
        <f t="shared" ca="1" si="8"/>
        <v/>
      </c>
      <c r="K196" s="370" t="str">
        <f>IFERROR(IF(Active2=TRUE,HLOOKUP(Mammal_Chronic[[#This Row],[Crop]],Input_Scenario,12,FALSE)*HLOOKUP(Mammal_Chronic[[#This Row],[Crop]],Input_Scenario,8,FALSE)*Mammal_Chronic[[#This Row],[SVm]],""),"")</f>
        <v/>
      </c>
      <c r="L196" s="370" t="str">
        <f ca="1">IF($B$3&lt;&gt;"Passive",IFERROR(IF(ISNUMBER(INDEX(Active[M_NOAEL], 2)),
                          INDEX(Active[M_NOAEL], 2)/K196,""),""),"")</f>
        <v/>
      </c>
      <c r="M196" s="370" t="str">
        <f>IFERROR(IF(Active3=TRUE,HLOOKUP(Mammal_Chronic[[#This Row],[Crop]],Input_Scenario,13,FALSE)*HLOOKUP(Mammal_Chronic[[#This Row],[Crop]],Input_Scenario,8,FALSE)*Mammal_Chronic[[#This Row],[SVm]],""),"")</f>
        <v/>
      </c>
      <c r="N196" s="370" t="str">
        <f ca="1">IF($B$3&lt;&gt;"Passive",IFERROR(IF(ISNUMBER(INDEX(Active[M_NOAEL], 3)),
                          INDEX(Active[M_NOAEL], 3)/M196,""),""),"")</f>
        <v/>
      </c>
      <c r="O196" s="370" t="str">
        <f>IFERROR(IF(Active4=TRUE,HLOOKUP(Mammal_Chronic[[#This Row],[Crop]],Input_Scenario,14,FALSE)*HLOOKUP(Mammal_Chronic[[#This Row],[Crop]],Input_Scenario,8,FALSE)*Mammal_Chronic[[#This Row],[SVm]],""),"")</f>
        <v/>
      </c>
      <c r="P196" s="370" t="str">
        <f ca="1">IF($B$3&lt;&gt;"Passive",IFERROR(IF(ISNUMBER(INDEX(Active[M_NOAEL], 4)),
                          INDEX(Active[M_NOAEL], 4)/O196,""),""),"")</f>
        <v/>
      </c>
      <c r="Q196" s="371" t="str">
        <f>IFERROR(IF(Active5=TRUE,HLOOKUP(Mammal_Chronic[[#This Row],[Crop]],Input_Scenario,15,FALSE)*HLOOKUP(Mammal_Chronic[[#This Row],[Crop]],Input_Scenario,8,FALSE)*Mammal_Chronic[[#This Row],[SVm]],""),"")</f>
        <v/>
      </c>
      <c r="R196" s="371" t="str">
        <f ca="1">IF($B$3&lt;&gt;"Passive",IFERROR(IF(ISNUMBER(INDEX(Active[M_NOAEL], 5)),
                          INDEX(Active[M_NOAEL], 5)/Q196,""),""),"")</f>
        <v/>
      </c>
    </row>
    <row r="197" spans="1:18">
      <c r="A197" s="56"/>
      <c r="B197" s="314" t="str">
        <f t="shared" ca="1" si="6"/>
        <v>No input</v>
      </c>
      <c r="C197" s="72" t="s">
        <v>167</v>
      </c>
      <c r="D197" s="73" t="s">
        <v>173</v>
      </c>
      <c r="E197" s="73" t="s">
        <v>271</v>
      </c>
      <c r="F197" s="113">
        <v>2.2999999999999998</v>
      </c>
      <c r="G197" s="203" t="str">
        <f ca="1">IF(AND(Mammal_Chronic[[#This Row],[Relevance]]="Input provided", Count&gt;=1),
       IF(M_ChronicScheme="C(mix)",
                 HLOOKUP(Mammal_Chronic[[#This Row],[Crop]], Input_Scenario,10,FALSE)*Mammal_Chronic[[#This Row],[SVm]]*HLOOKUP(Mammal_Chronic[[#This Row],[Crop]],Input_Scenario,8,FALSE),""),"")</f>
        <v/>
      </c>
      <c r="H197" s="368" t="str">
        <f t="shared" si="7"/>
        <v/>
      </c>
      <c r="I197" s="370" t="str">
        <f>IFERROR(IF(Active1=TRUE,HLOOKUP(Mammal_Chronic[[#This Row],[Crop]],Input_Scenario,11,FALSE)*HLOOKUP(Mammal_Chronic[[#This Row],[Crop]],Input_Scenario,8,FALSE)*Mammal_Chronic[[#This Row],[SVm]],""),"")</f>
        <v/>
      </c>
      <c r="J197" s="370" t="str">
        <f t="shared" ca="1" si="8"/>
        <v/>
      </c>
      <c r="K197" s="370" t="str">
        <f>IFERROR(IF(Active2=TRUE,HLOOKUP(Mammal_Chronic[[#This Row],[Crop]],Input_Scenario,12,FALSE)*HLOOKUP(Mammal_Chronic[[#This Row],[Crop]],Input_Scenario,8,FALSE)*Mammal_Chronic[[#This Row],[SVm]],""),"")</f>
        <v/>
      </c>
      <c r="L197" s="370" t="str">
        <f ca="1">IF($B$3&lt;&gt;"Passive",IFERROR(IF(ISNUMBER(INDEX(Active[M_NOAEL], 2)),
                          INDEX(Active[M_NOAEL], 2)/K197,""),""),"")</f>
        <v/>
      </c>
      <c r="M197" s="370" t="str">
        <f>IFERROR(IF(Active3=TRUE,HLOOKUP(Mammal_Chronic[[#This Row],[Crop]],Input_Scenario,13,FALSE)*HLOOKUP(Mammal_Chronic[[#This Row],[Crop]],Input_Scenario,8,FALSE)*Mammal_Chronic[[#This Row],[SVm]],""),"")</f>
        <v/>
      </c>
      <c r="N197" s="370" t="str">
        <f ca="1">IF($B$3&lt;&gt;"Passive",IFERROR(IF(ISNUMBER(INDEX(Active[M_NOAEL], 3)),
                          INDEX(Active[M_NOAEL], 3)/M197,""),""),"")</f>
        <v/>
      </c>
      <c r="O197" s="370" t="str">
        <f>IFERROR(IF(Active4=TRUE,HLOOKUP(Mammal_Chronic[[#This Row],[Crop]],Input_Scenario,14,FALSE)*HLOOKUP(Mammal_Chronic[[#This Row],[Crop]],Input_Scenario,8,FALSE)*Mammal_Chronic[[#This Row],[SVm]],""),"")</f>
        <v/>
      </c>
      <c r="P197" s="370" t="str">
        <f ca="1">IF($B$3&lt;&gt;"Passive",IFERROR(IF(ISNUMBER(INDEX(Active[M_NOAEL], 4)),
                          INDEX(Active[M_NOAEL], 4)/O197,""),""),"")</f>
        <v/>
      </c>
      <c r="Q197" s="371" t="str">
        <f>IFERROR(IF(Active5=TRUE,HLOOKUP(Mammal_Chronic[[#This Row],[Crop]],Input_Scenario,15,FALSE)*HLOOKUP(Mammal_Chronic[[#This Row],[Crop]],Input_Scenario,8,FALSE)*Mammal_Chronic[[#This Row],[SVm]],""),"")</f>
        <v/>
      </c>
      <c r="R197" s="371" t="str">
        <f ca="1">IF($B$3&lt;&gt;"Passive",IFERROR(IF(ISNUMBER(INDEX(Active[M_NOAEL], 5)),
                          INDEX(Active[M_NOAEL], 5)/Q197,""),""),"")</f>
        <v/>
      </c>
    </row>
    <row r="198" spans="1:18">
      <c r="A198" s="56"/>
      <c r="B198" s="314" t="str">
        <f t="shared" ca="1" si="6"/>
        <v>No input</v>
      </c>
      <c r="C198" s="72" t="s">
        <v>175</v>
      </c>
      <c r="D198" s="73" t="s">
        <v>262</v>
      </c>
      <c r="E198" s="73" t="s">
        <v>271</v>
      </c>
      <c r="F198" s="113">
        <v>7.8</v>
      </c>
      <c r="G198" s="203" t="str">
        <f ca="1">IF(AND(Mammal_Chronic[[#This Row],[Relevance]]="Input provided", Count&gt;=1),
       IF(M_ChronicScheme="C(mix)",
                 HLOOKUP(Mammal_Chronic[[#This Row],[Crop]], Input_Scenario,10,FALSE)*Mammal_Chronic[[#This Row],[SVm]]*HLOOKUP(Mammal_Chronic[[#This Row],[Crop]],Input_Scenario,8,FALSE),""),"")</f>
        <v/>
      </c>
      <c r="H198" s="368" t="str">
        <f t="shared" si="7"/>
        <v/>
      </c>
      <c r="I198" s="370" t="str">
        <f>IFERROR(IF(Active1=TRUE,HLOOKUP(Mammal_Chronic[[#This Row],[Crop]],Input_Scenario,11,FALSE)*HLOOKUP(Mammal_Chronic[[#This Row],[Crop]],Input_Scenario,8,FALSE)*Mammal_Chronic[[#This Row],[SVm]],""),"")</f>
        <v/>
      </c>
      <c r="J198" s="370" t="str">
        <f t="shared" ca="1" si="8"/>
        <v/>
      </c>
      <c r="K198" s="370" t="str">
        <f>IFERROR(IF(Active2=TRUE,HLOOKUP(Mammal_Chronic[[#This Row],[Crop]],Input_Scenario,12,FALSE)*HLOOKUP(Mammal_Chronic[[#This Row],[Crop]],Input_Scenario,8,FALSE)*Mammal_Chronic[[#This Row],[SVm]],""),"")</f>
        <v/>
      </c>
      <c r="L198" s="370" t="str">
        <f ca="1">IF($B$3&lt;&gt;"Passive",IFERROR(IF(ISNUMBER(INDEX(Active[M_NOAEL], 2)),
                          INDEX(Active[M_NOAEL], 2)/K198,""),""),"")</f>
        <v/>
      </c>
      <c r="M198" s="370" t="str">
        <f>IFERROR(IF(Active3=TRUE,HLOOKUP(Mammal_Chronic[[#This Row],[Crop]],Input_Scenario,13,FALSE)*HLOOKUP(Mammal_Chronic[[#This Row],[Crop]],Input_Scenario,8,FALSE)*Mammal_Chronic[[#This Row],[SVm]],""),"")</f>
        <v/>
      </c>
      <c r="N198" s="370" t="str">
        <f ca="1">IF($B$3&lt;&gt;"Passive",IFERROR(IF(ISNUMBER(INDEX(Active[M_NOAEL], 3)),
                          INDEX(Active[M_NOAEL], 3)/M198,""),""),"")</f>
        <v/>
      </c>
      <c r="O198" s="370" t="str">
        <f>IFERROR(IF(Active4=TRUE,HLOOKUP(Mammal_Chronic[[#This Row],[Crop]],Input_Scenario,14,FALSE)*HLOOKUP(Mammal_Chronic[[#This Row],[Crop]],Input_Scenario,8,FALSE)*Mammal_Chronic[[#This Row],[SVm]],""),"")</f>
        <v/>
      </c>
      <c r="P198" s="370" t="str">
        <f ca="1">IF($B$3&lt;&gt;"Passive",IFERROR(IF(ISNUMBER(INDEX(Active[M_NOAEL], 4)),
                          INDEX(Active[M_NOAEL], 4)/O198,""),""),"")</f>
        <v/>
      </c>
      <c r="Q198" s="371" t="str">
        <f>IFERROR(IF(Active5=TRUE,HLOOKUP(Mammal_Chronic[[#This Row],[Crop]],Input_Scenario,15,FALSE)*HLOOKUP(Mammal_Chronic[[#This Row],[Crop]],Input_Scenario,8,FALSE)*Mammal_Chronic[[#This Row],[SVm]],""),"")</f>
        <v/>
      </c>
      <c r="R198" s="371" t="str">
        <f ca="1">IF($B$3&lt;&gt;"Passive",IFERROR(IF(ISNUMBER(INDEX(Active[M_NOAEL], 5)),
                          INDEX(Active[M_NOAEL], 5)/Q198,""),""),"")</f>
        <v/>
      </c>
    </row>
    <row r="199" spans="1:18">
      <c r="A199" s="56"/>
      <c r="B199" s="314" t="str">
        <f t="shared" ca="1" si="6"/>
        <v>No input</v>
      </c>
      <c r="C199" s="72" t="s">
        <v>175</v>
      </c>
      <c r="D199" s="73" t="s">
        <v>251</v>
      </c>
      <c r="E199" s="73" t="s">
        <v>273</v>
      </c>
      <c r="F199" s="113">
        <v>72.3</v>
      </c>
      <c r="G199" s="203" t="str">
        <f ca="1">IF(AND(Mammal_Chronic[[#This Row],[Relevance]]="Input provided", Count&gt;=1),
       IF(M_ChronicScheme="C(mix)",
                 HLOOKUP(Mammal_Chronic[[#This Row],[Crop]], Input_Scenario,10,FALSE)*Mammal_Chronic[[#This Row],[SVm]]*HLOOKUP(Mammal_Chronic[[#This Row],[Crop]],Input_Scenario,8,FALSE),""),"")</f>
        <v/>
      </c>
      <c r="H199" s="368" t="str">
        <f t="shared" si="7"/>
        <v/>
      </c>
      <c r="I199" s="370" t="str">
        <f>IFERROR(IF(Active1=TRUE,HLOOKUP(Mammal_Chronic[[#This Row],[Crop]],Input_Scenario,11,FALSE)*HLOOKUP(Mammal_Chronic[[#This Row],[Crop]],Input_Scenario,8,FALSE)*Mammal_Chronic[[#This Row],[SVm]],""),"")</f>
        <v/>
      </c>
      <c r="J199" s="370" t="str">
        <f t="shared" ca="1" si="8"/>
        <v/>
      </c>
      <c r="K199" s="370" t="str">
        <f>IFERROR(IF(Active2=TRUE,HLOOKUP(Mammal_Chronic[[#This Row],[Crop]],Input_Scenario,12,FALSE)*HLOOKUP(Mammal_Chronic[[#This Row],[Crop]],Input_Scenario,8,FALSE)*Mammal_Chronic[[#This Row],[SVm]],""),"")</f>
        <v/>
      </c>
      <c r="L199" s="370" t="str">
        <f ca="1">IF($B$3&lt;&gt;"Passive",IFERROR(IF(ISNUMBER(INDEX(Active[M_NOAEL], 2)),
                          INDEX(Active[M_NOAEL], 2)/K199,""),""),"")</f>
        <v/>
      </c>
      <c r="M199" s="370" t="str">
        <f>IFERROR(IF(Active3=TRUE,HLOOKUP(Mammal_Chronic[[#This Row],[Crop]],Input_Scenario,13,FALSE)*HLOOKUP(Mammal_Chronic[[#This Row],[Crop]],Input_Scenario,8,FALSE)*Mammal_Chronic[[#This Row],[SVm]],""),"")</f>
        <v/>
      </c>
      <c r="N199" s="370" t="str">
        <f ca="1">IF($B$3&lt;&gt;"Passive",IFERROR(IF(ISNUMBER(INDEX(Active[M_NOAEL], 3)),
                          INDEX(Active[M_NOAEL], 3)/M199,""),""),"")</f>
        <v/>
      </c>
      <c r="O199" s="370" t="str">
        <f>IFERROR(IF(Active4=TRUE,HLOOKUP(Mammal_Chronic[[#This Row],[Crop]],Input_Scenario,14,FALSE)*HLOOKUP(Mammal_Chronic[[#This Row],[Crop]],Input_Scenario,8,FALSE)*Mammal_Chronic[[#This Row],[SVm]],""),"")</f>
        <v/>
      </c>
      <c r="P199" s="370" t="str">
        <f ca="1">IF($B$3&lt;&gt;"Passive",IFERROR(IF(ISNUMBER(INDEX(Active[M_NOAEL], 4)),
                          INDEX(Active[M_NOAEL], 4)/O199,""),""),"")</f>
        <v/>
      </c>
      <c r="Q199" s="371" t="str">
        <f>IFERROR(IF(Active5=TRUE,HLOOKUP(Mammal_Chronic[[#This Row],[Crop]],Input_Scenario,15,FALSE)*HLOOKUP(Mammal_Chronic[[#This Row],[Crop]],Input_Scenario,8,FALSE)*Mammal_Chronic[[#This Row],[SVm]],""),"")</f>
        <v/>
      </c>
      <c r="R199" s="371" t="str">
        <f ca="1">IF($B$3&lt;&gt;"Passive",IFERROR(IF(ISNUMBER(INDEX(Active[M_NOAEL], 5)),
                          INDEX(Active[M_NOAEL], 5)/Q199,""),""),"")</f>
        <v/>
      </c>
    </row>
    <row r="200" spans="1:18">
      <c r="A200" s="56"/>
      <c r="B200" s="314" t="str">
        <f t="shared" ca="1" si="6"/>
        <v>No input</v>
      </c>
      <c r="C200" s="72" t="s">
        <v>175</v>
      </c>
      <c r="D200" s="73" t="s">
        <v>177</v>
      </c>
      <c r="E200" s="73" t="s">
        <v>272</v>
      </c>
      <c r="F200" s="113">
        <v>1.9</v>
      </c>
      <c r="G200" s="203" t="str">
        <f ca="1">IF(AND(Mammal_Chronic[[#This Row],[Relevance]]="Input provided", Count&gt;=1),
       IF(M_ChronicScheme="C(mix)",
                 HLOOKUP(Mammal_Chronic[[#This Row],[Crop]], Input_Scenario,10,FALSE)*Mammal_Chronic[[#This Row],[SVm]]*HLOOKUP(Mammal_Chronic[[#This Row],[Crop]],Input_Scenario,8,FALSE),""),"")</f>
        <v/>
      </c>
      <c r="H200" s="368" t="str">
        <f t="shared" si="7"/>
        <v/>
      </c>
      <c r="I200" s="370" t="str">
        <f>IFERROR(IF(Active1=TRUE,HLOOKUP(Mammal_Chronic[[#This Row],[Crop]],Input_Scenario,11,FALSE)*HLOOKUP(Mammal_Chronic[[#This Row],[Crop]],Input_Scenario,8,FALSE)*Mammal_Chronic[[#This Row],[SVm]],""),"")</f>
        <v/>
      </c>
      <c r="J200" s="370" t="str">
        <f t="shared" ca="1" si="8"/>
        <v/>
      </c>
      <c r="K200" s="370" t="str">
        <f>IFERROR(IF(Active2=TRUE,HLOOKUP(Mammal_Chronic[[#This Row],[Crop]],Input_Scenario,12,FALSE)*HLOOKUP(Mammal_Chronic[[#This Row],[Crop]],Input_Scenario,8,FALSE)*Mammal_Chronic[[#This Row],[SVm]],""),"")</f>
        <v/>
      </c>
      <c r="L200" s="370" t="str">
        <f ca="1">IF($B$3&lt;&gt;"Passive",IFERROR(IF(ISNUMBER(INDEX(Active[M_NOAEL], 2)),
                          INDEX(Active[M_NOAEL], 2)/K200,""),""),"")</f>
        <v/>
      </c>
      <c r="M200" s="370" t="str">
        <f>IFERROR(IF(Active3=TRUE,HLOOKUP(Mammal_Chronic[[#This Row],[Crop]],Input_Scenario,13,FALSE)*HLOOKUP(Mammal_Chronic[[#This Row],[Crop]],Input_Scenario,8,FALSE)*Mammal_Chronic[[#This Row],[SVm]],""),"")</f>
        <v/>
      </c>
      <c r="N200" s="370" t="str">
        <f ca="1">IF($B$3&lt;&gt;"Passive",IFERROR(IF(ISNUMBER(INDEX(Active[M_NOAEL], 3)),
                          INDEX(Active[M_NOAEL], 3)/M200,""),""),"")</f>
        <v/>
      </c>
      <c r="O200" s="370" t="str">
        <f>IFERROR(IF(Active4=TRUE,HLOOKUP(Mammal_Chronic[[#This Row],[Crop]],Input_Scenario,14,FALSE)*HLOOKUP(Mammal_Chronic[[#This Row],[Crop]],Input_Scenario,8,FALSE)*Mammal_Chronic[[#This Row],[SVm]],""),"")</f>
        <v/>
      </c>
      <c r="P200" s="370" t="str">
        <f ca="1">IF($B$3&lt;&gt;"Passive",IFERROR(IF(ISNUMBER(INDEX(Active[M_NOAEL], 4)),
                          INDEX(Active[M_NOAEL], 4)/O200,""),""),"")</f>
        <v/>
      </c>
      <c r="Q200" s="371" t="str">
        <f>IFERROR(IF(Active5=TRUE,HLOOKUP(Mammal_Chronic[[#This Row],[Crop]],Input_Scenario,15,FALSE)*HLOOKUP(Mammal_Chronic[[#This Row],[Crop]],Input_Scenario,8,FALSE)*Mammal_Chronic[[#This Row],[SVm]],""),"")</f>
        <v/>
      </c>
      <c r="R200" s="371" t="str">
        <f ca="1">IF($B$3&lt;&gt;"Passive",IFERROR(IF(ISNUMBER(INDEX(Active[M_NOAEL], 5)),
                          INDEX(Active[M_NOAEL], 5)/Q200,""),""),"")</f>
        <v/>
      </c>
    </row>
    <row r="201" spans="1:18">
      <c r="A201" s="56"/>
      <c r="B201" s="314" t="str">
        <f t="shared" ca="1" si="6"/>
        <v>No input</v>
      </c>
      <c r="C201" s="72" t="s">
        <v>175</v>
      </c>
      <c r="D201" s="73" t="s">
        <v>134</v>
      </c>
      <c r="E201" s="73" t="s">
        <v>273</v>
      </c>
      <c r="F201" s="113">
        <v>36.1</v>
      </c>
      <c r="G201" s="203" t="str">
        <f ca="1">IF(AND(Mammal_Chronic[[#This Row],[Relevance]]="Input provided", Count&gt;=1),
       IF(M_ChronicScheme="C(mix)",
                 HLOOKUP(Mammal_Chronic[[#This Row],[Crop]], Input_Scenario,10,FALSE)*Mammal_Chronic[[#This Row],[SVm]]*HLOOKUP(Mammal_Chronic[[#This Row],[Crop]],Input_Scenario,8,FALSE),""),"")</f>
        <v/>
      </c>
      <c r="H201" s="368" t="str">
        <f t="shared" si="7"/>
        <v/>
      </c>
      <c r="I201" s="370" t="str">
        <f>IFERROR(IF(Active1=TRUE,HLOOKUP(Mammal_Chronic[[#This Row],[Crop]],Input_Scenario,11,FALSE)*HLOOKUP(Mammal_Chronic[[#This Row],[Crop]],Input_Scenario,8,FALSE)*Mammal_Chronic[[#This Row],[SVm]],""),"")</f>
        <v/>
      </c>
      <c r="J201" s="370" t="str">
        <f t="shared" ca="1" si="8"/>
        <v/>
      </c>
      <c r="K201" s="370" t="str">
        <f>IFERROR(IF(Active2=TRUE,HLOOKUP(Mammal_Chronic[[#This Row],[Crop]],Input_Scenario,12,FALSE)*HLOOKUP(Mammal_Chronic[[#This Row],[Crop]],Input_Scenario,8,FALSE)*Mammal_Chronic[[#This Row],[SVm]],""),"")</f>
        <v/>
      </c>
      <c r="L201" s="370" t="str">
        <f ca="1">IF($B$3&lt;&gt;"Passive",IFERROR(IF(ISNUMBER(INDEX(Active[M_NOAEL], 2)),
                          INDEX(Active[M_NOAEL], 2)/K201,""),""),"")</f>
        <v/>
      </c>
      <c r="M201" s="370" t="str">
        <f>IFERROR(IF(Active3=TRUE,HLOOKUP(Mammal_Chronic[[#This Row],[Crop]],Input_Scenario,13,FALSE)*HLOOKUP(Mammal_Chronic[[#This Row],[Crop]],Input_Scenario,8,FALSE)*Mammal_Chronic[[#This Row],[SVm]],""),"")</f>
        <v/>
      </c>
      <c r="N201" s="370" t="str">
        <f ca="1">IF($B$3&lt;&gt;"Passive",IFERROR(IF(ISNUMBER(INDEX(Active[M_NOAEL], 3)),
                          INDEX(Active[M_NOAEL], 3)/M201,""),""),"")</f>
        <v/>
      </c>
      <c r="O201" s="370" t="str">
        <f>IFERROR(IF(Active4=TRUE,HLOOKUP(Mammal_Chronic[[#This Row],[Crop]],Input_Scenario,14,FALSE)*HLOOKUP(Mammal_Chronic[[#This Row],[Crop]],Input_Scenario,8,FALSE)*Mammal_Chronic[[#This Row],[SVm]],""),"")</f>
        <v/>
      </c>
      <c r="P201" s="370" t="str">
        <f ca="1">IF($B$3&lt;&gt;"Passive",IFERROR(IF(ISNUMBER(INDEX(Active[M_NOAEL], 4)),
                          INDEX(Active[M_NOAEL], 4)/O201,""),""),"")</f>
        <v/>
      </c>
      <c r="Q201" s="371" t="str">
        <f>IFERROR(IF(Active5=TRUE,HLOOKUP(Mammal_Chronic[[#This Row],[Crop]],Input_Scenario,15,FALSE)*HLOOKUP(Mammal_Chronic[[#This Row],[Crop]],Input_Scenario,8,FALSE)*Mammal_Chronic[[#This Row],[SVm]],""),"")</f>
        <v/>
      </c>
      <c r="R201" s="371" t="str">
        <f ca="1">IF($B$3&lt;&gt;"Passive",IFERROR(IF(ISNUMBER(INDEX(Active[M_NOAEL], 5)),
                          INDEX(Active[M_NOAEL], 5)/Q201,""),""),"")</f>
        <v/>
      </c>
    </row>
    <row r="202" spans="1:18">
      <c r="A202" s="56"/>
      <c r="B202" s="314" t="str">
        <f t="shared" ca="1" si="6"/>
        <v>No input</v>
      </c>
      <c r="C202" s="72" t="s">
        <v>175</v>
      </c>
      <c r="D202" s="73" t="s">
        <v>263</v>
      </c>
      <c r="E202" s="73" t="s">
        <v>271</v>
      </c>
      <c r="F202" s="113">
        <v>3.9</v>
      </c>
      <c r="G202" s="203" t="str">
        <f ca="1">IF(AND(Mammal_Chronic[[#This Row],[Relevance]]="Input provided", Count&gt;=1),
       IF(M_ChronicScheme="C(mix)",
                 HLOOKUP(Mammal_Chronic[[#This Row],[Crop]], Input_Scenario,10,FALSE)*Mammal_Chronic[[#This Row],[SVm]]*HLOOKUP(Mammal_Chronic[[#This Row],[Crop]],Input_Scenario,8,FALSE),""),"")</f>
        <v/>
      </c>
      <c r="H202" s="368" t="str">
        <f t="shared" si="7"/>
        <v/>
      </c>
      <c r="I202" s="370" t="str">
        <f>IFERROR(IF(Active1=TRUE,HLOOKUP(Mammal_Chronic[[#This Row],[Crop]],Input_Scenario,11,FALSE)*HLOOKUP(Mammal_Chronic[[#This Row],[Crop]],Input_Scenario,8,FALSE)*Mammal_Chronic[[#This Row],[SVm]],""),"")</f>
        <v/>
      </c>
      <c r="J202" s="370" t="str">
        <f t="shared" ca="1" si="8"/>
        <v/>
      </c>
      <c r="K202" s="370" t="str">
        <f>IFERROR(IF(Active2=TRUE,HLOOKUP(Mammal_Chronic[[#This Row],[Crop]],Input_Scenario,12,FALSE)*HLOOKUP(Mammal_Chronic[[#This Row],[Crop]],Input_Scenario,8,FALSE)*Mammal_Chronic[[#This Row],[SVm]],""),"")</f>
        <v/>
      </c>
      <c r="L202" s="370" t="str">
        <f ca="1">IF($B$3&lt;&gt;"Passive",IFERROR(IF(ISNUMBER(INDEX(Active[M_NOAEL], 2)),
                          INDEX(Active[M_NOAEL], 2)/K202,""),""),"")</f>
        <v/>
      </c>
      <c r="M202" s="370" t="str">
        <f>IFERROR(IF(Active3=TRUE,HLOOKUP(Mammal_Chronic[[#This Row],[Crop]],Input_Scenario,13,FALSE)*HLOOKUP(Mammal_Chronic[[#This Row],[Crop]],Input_Scenario,8,FALSE)*Mammal_Chronic[[#This Row],[SVm]],""),"")</f>
        <v/>
      </c>
      <c r="N202" s="370" t="str">
        <f ca="1">IF($B$3&lt;&gt;"Passive",IFERROR(IF(ISNUMBER(INDEX(Active[M_NOAEL], 3)),
                          INDEX(Active[M_NOAEL], 3)/M202,""),""),"")</f>
        <v/>
      </c>
      <c r="O202" s="370" t="str">
        <f>IFERROR(IF(Active4=TRUE,HLOOKUP(Mammal_Chronic[[#This Row],[Crop]],Input_Scenario,14,FALSE)*HLOOKUP(Mammal_Chronic[[#This Row],[Crop]],Input_Scenario,8,FALSE)*Mammal_Chronic[[#This Row],[SVm]],""),"")</f>
        <v/>
      </c>
      <c r="P202" s="370" t="str">
        <f ca="1">IF($B$3&lt;&gt;"Passive",IFERROR(IF(ISNUMBER(INDEX(Active[M_NOAEL], 4)),
                          INDEX(Active[M_NOAEL], 4)/O202,""),""),"")</f>
        <v/>
      </c>
      <c r="Q202" s="371" t="str">
        <f>IFERROR(IF(Active5=TRUE,HLOOKUP(Mammal_Chronic[[#This Row],[Crop]],Input_Scenario,15,FALSE)*HLOOKUP(Mammal_Chronic[[#This Row],[Crop]],Input_Scenario,8,FALSE)*Mammal_Chronic[[#This Row],[SVm]],""),"")</f>
        <v/>
      </c>
      <c r="R202" s="371" t="str">
        <f ca="1">IF($B$3&lt;&gt;"Passive",IFERROR(IF(ISNUMBER(INDEX(Active[M_NOAEL], 5)),
                          INDEX(Active[M_NOAEL], 5)/Q202,""),""),"")</f>
        <v/>
      </c>
    </row>
    <row r="203" spans="1:18">
      <c r="A203" s="56"/>
      <c r="B203" s="314" t="str">
        <f t="shared" ca="1" si="6"/>
        <v>No input</v>
      </c>
      <c r="C203" s="72" t="s">
        <v>178</v>
      </c>
      <c r="D203" s="73" t="s">
        <v>240</v>
      </c>
      <c r="E203" s="73" t="s">
        <v>272</v>
      </c>
      <c r="F203" s="113">
        <v>4.2</v>
      </c>
      <c r="G203" s="203" t="str">
        <f ca="1">IF(AND(Mammal_Chronic[[#This Row],[Relevance]]="Input provided", Count&gt;=1),
       IF(M_ChronicScheme="C(mix)",
                 HLOOKUP(Mammal_Chronic[[#This Row],[Crop]], Input_Scenario,10,FALSE)*Mammal_Chronic[[#This Row],[SVm]]*HLOOKUP(Mammal_Chronic[[#This Row],[Crop]],Input_Scenario,8,FALSE),""),"")</f>
        <v/>
      </c>
      <c r="H203" s="368" t="str">
        <f t="shared" si="7"/>
        <v/>
      </c>
      <c r="I203" s="370" t="str">
        <f>IFERROR(IF(Active1=TRUE,HLOOKUP(Mammal_Chronic[[#This Row],[Crop]],Input_Scenario,11,FALSE)*HLOOKUP(Mammal_Chronic[[#This Row],[Crop]],Input_Scenario,8,FALSE)*Mammal_Chronic[[#This Row],[SVm]],""),"")</f>
        <v/>
      </c>
      <c r="J203" s="370" t="str">
        <f t="shared" ca="1" si="8"/>
        <v/>
      </c>
      <c r="K203" s="370" t="str">
        <f>IFERROR(IF(Active2=TRUE,HLOOKUP(Mammal_Chronic[[#This Row],[Crop]],Input_Scenario,12,FALSE)*HLOOKUP(Mammal_Chronic[[#This Row],[Crop]],Input_Scenario,8,FALSE)*Mammal_Chronic[[#This Row],[SVm]],""),"")</f>
        <v/>
      </c>
      <c r="L203" s="370" t="str">
        <f ca="1">IF($B$3&lt;&gt;"Passive",IFERROR(IF(ISNUMBER(INDEX(Active[M_NOAEL], 2)),
                          INDEX(Active[M_NOAEL], 2)/K203,""),""),"")</f>
        <v/>
      </c>
      <c r="M203" s="370" t="str">
        <f>IFERROR(IF(Active3=TRUE,HLOOKUP(Mammal_Chronic[[#This Row],[Crop]],Input_Scenario,13,FALSE)*HLOOKUP(Mammal_Chronic[[#This Row],[Crop]],Input_Scenario,8,FALSE)*Mammal_Chronic[[#This Row],[SVm]],""),"")</f>
        <v/>
      </c>
      <c r="N203" s="370" t="str">
        <f ca="1">IF($B$3&lt;&gt;"Passive",IFERROR(IF(ISNUMBER(INDEX(Active[M_NOAEL], 3)),
                          INDEX(Active[M_NOAEL], 3)/M203,""),""),"")</f>
        <v/>
      </c>
      <c r="O203" s="370" t="str">
        <f>IFERROR(IF(Active4=TRUE,HLOOKUP(Mammal_Chronic[[#This Row],[Crop]],Input_Scenario,14,FALSE)*HLOOKUP(Mammal_Chronic[[#This Row],[Crop]],Input_Scenario,8,FALSE)*Mammal_Chronic[[#This Row],[SVm]],""),"")</f>
        <v/>
      </c>
      <c r="P203" s="370" t="str">
        <f ca="1">IF($B$3&lt;&gt;"Passive",IFERROR(IF(ISNUMBER(INDEX(Active[M_NOAEL], 4)),
                          INDEX(Active[M_NOAEL], 4)/O203,""),""),"")</f>
        <v/>
      </c>
      <c r="Q203" s="371" t="str">
        <f>IFERROR(IF(Active5=TRUE,HLOOKUP(Mammal_Chronic[[#This Row],[Crop]],Input_Scenario,15,FALSE)*HLOOKUP(Mammal_Chronic[[#This Row],[Crop]],Input_Scenario,8,FALSE)*Mammal_Chronic[[#This Row],[SVm]],""),"")</f>
        <v/>
      </c>
      <c r="R203" s="371" t="str">
        <f ca="1">IF($B$3&lt;&gt;"Passive",IFERROR(IF(ISNUMBER(INDEX(Active[M_NOAEL], 5)),
                          INDEX(Active[M_NOAEL], 5)/Q203,""),""),"")</f>
        <v/>
      </c>
    </row>
    <row r="204" spans="1:18">
      <c r="A204" s="56"/>
      <c r="B204" s="314" t="str">
        <f t="shared" ca="1" si="6"/>
        <v>No input</v>
      </c>
      <c r="C204" s="72" t="s">
        <v>178</v>
      </c>
      <c r="D204" s="73" t="s">
        <v>264</v>
      </c>
      <c r="E204" s="73" t="s">
        <v>275</v>
      </c>
      <c r="F204" s="113">
        <v>14.3</v>
      </c>
      <c r="G204" s="203" t="str">
        <f ca="1">IF(AND(Mammal_Chronic[[#This Row],[Relevance]]="Input provided", Count&gt;=1),
       IF(M_ChronicScheme="C(mix)",
                 HLOOKUP(Mammal_Chronic[[#This Row],[Crop]], Input_Scenario,10,FALSE)*Mammal_Chronic[[#This Row],[SVm]]*HLOOKUP(Mammal_Chronic[[#This Row],[Crop]],Input_Scenario,8,FALSE),""),"")</f>
        <v/>
      </c>
      <c r="H204" s="368" t="str">
        <f t="shared" si="7"/>
        <v/>
      </c>
      <c r="I204" s="370" t="str">
        <f>IFERROR(IF(Active1=TRUE,HLOOKUP(Mammal_Chronic[[#This Row],[Crop]],Input_Scenario,11,FALSE)*HLOOKUP(Mammal_Chronic[[#This Row],[Crop]],Input_Scenario,8,FALSE)*Mammal_Chronic[[#This Row],[SVm]],""),"")</f>
        <v/>
      </c>
      <c r="J204" s="370" t="str">
        <f t="shared" ca="1" si="8"/>
        <v/>
      </c>
      <c r="K204" s="370" t="str">
        <f>IFERROR(IF(Active2=TRUE,HLOOKUP(Mammal_Chronic[[#This Row],[Crop]],Input_Scenario,12,FALSE)*HLOOKUP(Mammal_Chronic[[#This Row],[Crop]],Input_Scenario,8,FALSE)*Mammal_Chronic[[#This Row],[SVm]],""),"")</f>
        <v/>
      </c>
      <c r="L204" s="370" t="str">
        <f ca="1">IF($B$3&lt;&gt;"Passive",IFERROR(IF(ISNUMBER(INDEX(Active[M_NOAEL], 2)),
                          INDEX(Active[M_NOAEL], 2)/K204,""),""),"")</f>
        <v/>
      </c>
      <c r="M204" s="370" t="str">
        <f>IFERROR(IF(Active3=TRUE,HLOOKUP(Mammal_Chronic[[#This Row],[Crop]],Input_Scenario,13,FALSE)*HLOOKUP(Mammal_Chronic[[#This Row],[Crop]],Input_Scenario,8,FALSE)*Mammal_Chronic[[#This Row],[SVm]],""),"")</f>
        <v/>
      </c>
      <c r="N204" s="370" t="str">
        <f ca="1">IF($B$3&lt;&gt;"Passive",IFERROR(IF(ISNUMBER(INDEX(Active[M_NOAEL], 3)),
                          INDEX(Active[M_NOAEL], 3)/M204,""),""),"")</f>
        <v/>
      </c>
      <c r="O204" s="370" t="str">
        <f>IFERROR(IF(Active4=TRUE,HLOOKUP(Mammal_Chronic[[#This Row],[Crop]],Input_Scenario,14,FALSE)*HLOOKUP(Mammal_Chronic[[#This Row],[Crop]],Input_Scenario,8,FALSE)*Mammal_Chronic[[#This Row],[SVm]],""),"")</f>
        <v/>
      </c>
      <c r="P204" s="370" t="str">
        <f ca="1">IF($B$3&lt;&gt;"Passive",IFERROR(IF(ISNUMBER(INDEX(Active[M_NOAEL], 4)),
                          INDEX(Active[M_NOAEL], 4)/O204,""),""),"")</f>
        <v/>
      </c>
      <c r="Q204" s="371" t="str">
        <f>IFERROR(IF(Active5=TRUE,HLOOKUP(Mammal_Chronic[[#This Row],[Crop]],Input_Scenario,15,FALSE)*HLOOKUP(Mammal_Chronic[[#This Row],[Crop]],Input_Scenario,8,FALSE)*Mammal_Chronic[[#This Row],[SVm]],""),"")</f>
        <v/>
      </c>
      <c r="R204" s="371" t="str">
        <f ca="1">IF($B$3&lt;&gt;"Passive",IFERROR(IF(ISNUMBER(INDEX(Active[M_NOAEL], 5)),
                          INDEX(Active[M_NOAEL], 5)/Q204,""),""),"")</f>
        <v/>
      </c>
    </row>
    <row r="205" spans="1:18">
      <c r="A205" s="56"/>
      <c r="B205" s="314" t="str">
        <f t="shared" ca="1" si="6"/>
        <v>No input</v>
      </c>
      <c r="C205" s="72" t="s">
        <v>178</v>
      </c>
      <c r="D205" s="73" t="s">
        <v>265</v>
      </c>
      <c r="E205" s="73" t="s">
        <v>271</v>
      </c>
      <c r="F205" s="113">
        <v>7.8</v>
      </c>
      <c r="G205" s="203" t="str">
        <f ca="1">IF(AND(Mammal_Chronic[[#This Row],[Relevance]]="Input provided", Count&gt;=1),
       IF(M_ChronicScheme="C(mix)",
                 HLOOKUP(Mammal_Chronic[[#This Row],[Crop]], Input_Scenario,10,FALSE)*Mammal_Chronic[[#This Row],[SVm]]*HLOOKUP(Mammal_Chronic[[#This Row],[Crop]],Input_Scenario,8,FALSE),""),"")</f>
        <v/>
      </c>
      <c r="H205" s="368" t="str">
        <f t="shared" si="7"/>
        <v/>
      </c>
      <c r="I205" s="370" t="str">
        <f>IFERROR(IF(Active1=TRUE,HLOOKUP(Mammal_Chronic[[#This Row],[Crop]],Input_Scenario,11,FALSE)*HLOOKUP(Mammal_Chronic[[#This Row],[Crop]],Input_Scenario,8,FALSE)*Mammal_Chronic[[#This Row],[SVm]],""),"")</f>
        <v/>
      </c>
      <c r="J205" s="370" t="str">
        <f t="shared" ca="1" si="8"/>
        <v/>
      </c>
      <c r="K205" s="370" t="str">
        <f>IFERROR(IF(Active2=TRUE,HLOOKUP(Mammal_Chronic[[#This Row],[Crop]],Input_Scenario,12,FALSE)*HLOOKUP(Mammal_Chronic[[#This Row],[Crop]],Input_Scenario,8,FALSE)*Mammal_Chronic[[#This Row],[SVm]],""),"")</f>
        <v/>
      </c>
      <c r="L205" s="370" t="str">
        <f ca="1">IF($B$3&lt;&gt;"Passive",IFERROR(IF(ISNUMBER(INDEX(Active[M_NOAEL], 2)),
                          INDEX(Active[M_NOAEL], 2)/K205,""),""),"")</f>
        <v/>
      </c>
      <c r="M205" s="370" t="str">
        <f>IFERROR(IF(Active3=TRUE,HLOOKUP(Mammal_Chronic[[#This Row],[Crop]],Input_Scenario,13,FALSE)*HLOOKUP(Mammal_Chronic[[#This Row],[Crop]],Input_Scenario,8,FALSE)*Mammal_Chronic[[#This Row],[SVm]],""),"")</f>
        <v/>
      </c>
      <c r="N205" s="370" t="str">
        <f ca="1">IF($B$3&lt;&gt;"Passive",IFERROR(IF(ISNUMBER(INDEX(Active[M_NOAEL], 3)),
                          INDEX(Active[M_NOAEL], 3)/M205,""),""),"")</f>
        <v/>
      </c>
      <c r="O205" s="370" t="str">
        <f>IFERROR(IF(Active4=TRUE,HLOOKUP(Mammal_Chronic[[#This Row],[Crop]],Input_Scenario,14,FALSE)*HLOOKUP(Mammal_Chronic[[#This Row],[Crop]],Input_Scenario,8,FALSE)*Mammal_Chronic[[#This Row],[SVm]],""),"")</f>
        <v/>
      </c>
      <c r="P205" s="370" t="str">
        <f ca="1">IF($B$3&lt;&gt;"Passive",IFERROR(IF(ISNUMBER(INDEX(Active[M_NOAEL], 4)),
                          INDEX(Active[M_NOAEL], 4)/O205,""),""),"")</f>
        <v/>
      </c>
      <c r="Q205" s="371" t="str">
        <f>IFERROR(IF(Active5=TRUE,HLOOKUP(Mammal_Chronic[[#This Row],[Crop]],Input_Scenario,15,FALSE)*HLOOKUP(Mammal_Chronic[[#This Row],[Crop]],Input_Scenario,8,FALSE)*Mammal_Chronic[[#This Row],[SVm]],""),"")</f>
        <v/>
      </c>
      <c r="R205" s="371" t="str">
        <f ca="1">IF($B$3&lt;&gt;"Passive",IFERROR(IF(ISNUMBER(INDEX(Active[M_NOAEL], 5)),
                          INDEX(Active[M_NOAEL], 5)/Q205,""),""),"")</f>
        <v/>
      </c>
    </row>
    <row r="206" spans="1:18">
      <c r="A206" s="56"/>
      <c r="B206" s="314" t="str">
        <f t="shared" ca="1" si="6"/>
        <v>No input</v>
      </c>
      <c r="C206" s="72" t="s">
        <v>178</v>
      </c>
      <c r="D206" s="73" t="s">
        <v>111</v>
      </c>
      <c r="E206" s="73" t="s">
        <v>272</v>
      </c>
      <c r="F206" s="113">
        <v>1.9</v>
      </c>
      <c r="G206" s="203" t="str">
        <f ca="1">IF(AND(Mammal_Chronic[[#This Row],[Relevance]]="Input provided", Count&gt;=1),
       IF(M_ChronicScheme="C(mix)",
                 HLOOKUP(Mammal_Chronic[[#This Row],[Crop]], Input_Scenario,10,FALSE)*Mammal_Chronic[[#This Row],[SVm]]*HLOOKUP(Mammal_Chronic[[#This Row],[Crop]],Input_Scenario,8,FALSE),""),"")</f>
        <v/>
      </c>
      <c r="H206" s="368" t="str">
        <f t="shared" si="7"/>
        <v/>
      </c>
      <c r="I206" s="370" t="str">
        <f>IFERROR(IF(Active1=TRUE,HLOOKUP(Mammal_Chronic[[#This Row],[Crop]],Input_Scenario,11,FALSE)*HLOOKUP(Mammal_Chronic[[#This Row],[Crop]],Input_Scenario,8,FALSE)*Mammal_Chronic[[#This Row],[SVm]],""),"")</f>
        <v/>
      </c>
      <c r="J206" s="370" t="str">
        <f t="shared" ca="1" si="8"/>
        <v/>
      </c>
      <c r="K206" s="370" t="str">
        <f>IFERROR(IF(Active2=TRUE,HLOOKUP(Mammal_Chronic[[#This Row],[Crop]],Input_Scenario,12,FALSE)*HLOOKUP(Mammal_Chronic[[#This Row],[Crop]],Input_Scenario,8,FALSE)*Mammal_Chronic[[#This Row],[SVm]],""),"")</f>
        <v/>
      </c>
      <c r="L206" s="370" t="str">
        <f ca="1">IF($B$3&lt;&gt;"Passive",IFERROR(IF(ISNUMBER(INDEX(Active[M_NOAEL], 2)),
                          INDEX(Active[M_NOAEL], 2)/K206,""),""),"")</f>
        <v/>
      </c>
      <c r="M206" s="370" t="str">
        <f>IFERROR(IF(Active3=TRUE,HLOOKUP(Mammal_Chronic[[#This Row],[Crop]],Input_Scenario,13,FALSE)*HLOOKUP(Mammal_Chronic[[#This Row],[Crop]],Input_Scenario,8,FALSE)*Mammal_Chronic[[#This Row],[SVm]],""),"")</f>
        <v/>
      </c>
      <c r="N206" s="370" t="str">
        <f ca="1">IF($B$3&lt;&gt;"Passive",IFERROR(IF(ISNUMBER(INDEX(Active[M_NOAEL], 3)),
                          INDEX(Active[M_NOAEL], 3)/M206,""),""),"")</f>
        <v/>
      </c>
      <c r="O206" s="370" t="str">
        <f>IFERROR(IF(Active4=TRUE,HLOOKUP(Mammal_Chronic[[#This Row],[Crop]],Input_Scenario,14,FALSE)*HLOOKUP(Mammal_Chronic[[#This Row],[Crop]],Input_Scenario,8,FALSE)*Mammal_Chronic[[#This Row],[SVm]],""),"")</f>
        <v/>
      </c>
      <c r="P206" s="370" t="str">
        <f ca="1">IF($B$3&lt;&gt;"Passive",IFERROR(IF(ISNUMBER(INDEX(Active[M_NOAEL], 4)),
                          INDEX(Active[M_NOAEL], 4)/O206,""),""),"")</f>
        <v/>
      </c>
      <c r="Q206" s="371" t="str">
        <f>IFERROR(IF(Active5=TRUE,HLOOKUP(Mammal_Chronic[[#This Row],[Crop]],Input_Scenario,15,FALSE)*HLOOKUP(Mammal_Chronic[[#This Row],[Crop]],Input_Scenario,8,FALSE)*Mammal_Chronic[[#This Row],[SVm]],""),"")</f>
        <v/>
      </c>
      <c r="R206" s="371" t="str">
        <f ca="1">IF($B$3&lt;&gt;"Passive",IFERROR(IF(ISNUMBER(INDEX(Active[M_NOAEL], 5)),
                          INDEX(Active[M_NOAEL], 5)/Q206,""),""),"")</f>
        <v/>
      </c>
    </row>
    <row r="207" spans="1:18">
      <c r="A207" s="56"/>
      <c r="B207" s="314" t="str">
        <f t="shared" ca="1" si="6"/>
        <v>No input</v>
      </c>
      <c r="C207" s="72" t="s">
        <v>178</v>
      </c>
      <c r="D207" s="73" t="s">
        <v>109</v>
      </c>
      <c r="E207" s="73" t="s">
        <v>273</v>
      </c>
      <c r="F207" s="113">
        <v>21.7</v>
      </c>
      <c r="G207" s="203" t="str">
        <f ca="1">IF(AND(Mammal_Chronic[[#This Row],[Relevance]]="Input provided", Count&gt;=1),
       IF(M_ChronicScheme="C(mix)",
                 HLOOKUP(Mammal_Chronic[[#This Row],[Crop]], Input_Scenario,10,FALSE)*Mammal_Chronic[[#This Row],[SVm]]*HLOOKUP(Mammal_Chronic[[#This Row],[Crop]],Input_Scenario,8,FALSE),""),"")</f>
        <v/>
      </c>
      <c r="H207" s="368" t="str">
        <f t="shared" si="7"/>
        <v/>
      </c>
      <c r="I207" s="370" t="str">
        <f>IFERROR(IF(Active1=TRUE,HLOOKUP(Mammal_Chronic[[#This Row],[Crop]],Input_Scenario,11,FALSE)*HLOOKUP(Mammal_Chronic[[#This Row],[Crop]],Input_Scenario,8,FALSE)*Mammal_Chronic[[#This Row],[SVm]],""),"")</f>
        <v/>
      </c>
      <c r="J207" s="370" t="str">
        <f t="shared" ca="1" si="8"/>
        <v/>
      </c>
      <c r="K207" s="370" t="str">
        <f>IFERROR(IF(Active2=TRUE,HLOOKUP(Mammal_Chronic[[#This Row],[Crop]],Input_Scenario,12,FALSE)*HLOOKUP(Mammal_Chronic[[#This Row],[Crop]],Input_Scenario,8,FALSE)*Mammal_Chronic[[#This Row],[SVm]],""),"")</f>
        <v/>
      </c>
      <c r="L207" s="370" t="str">
        <f ca="1">IF($B$3&lt;&gt;"Passive",IFERROR(IF(ISNUMBER(INDEX(Active[M_NOAEL], 2)),
                          INDEX(Active[M_NOAEL], 2)/K207,""),""),"")</f>
        <v/>
      </c>
      <c r="M207" s="370" t="str">
        <f>IFERROR(IF(Active3=TRUE,HLOOKUP(Mammal_Chronic[[#This Row],[Crop]],Input_Scenario,13,FALSE)*HLOOKUP(Mammal_Chronic[[#This Row],[Crop]],Input_Scenario,8,FALSE)*Mammal_Chronic[[#This Row],[SVm]],""),"")</f>
        <v/>
      </c>
      <c r="N207" s="370" t="str">
        <f ca="1">IF($B$3&lt;&gt;"Passive",IFERROR(IF(ISNUMBER(INDEX(Active[M_NOAEL], 3)),
                          INDEX(Active[M_NOAEL], 3)/M207,""),""),"")</f>
        <v/>
      </c>
      <c r="O207" s="370" t="str">
        <f>IFERROR(IF(Active4=TRUE,HLOOKUP(Mammal_Chronic[[#This Row],[Crop]],Input_Scenario,14,FALSE)*HLOOKUP(Mammal_Chronic[[#This Row],[Crop]],Input_Scenario,8,FALSE)*Mammal_Chronic[[#This Row],[SVm]],""),"")</f>
        <v/>
      </c>
      <c r="P207" s="370" t="str">
        <f ca="1">IF($B$3&lt;&gt;"Passive",IFERROR(IF(ISNUMBER(INDEX(Active[M_NOAEL], 4)),
                          INDEX(Active[M_NOAEL], 4)/O207,""),""),"")</f>
        <v/>
      </c>
      <c r="Q207" s="371" t="str">
        <f>IFERROR(IF(Active5=TRUE,HLOOKUP(Mammal_Chronic[[#This Row],[Crop]],Input_Scenario,15,FALSE)*HLOOKUP(Mammal_Chronic[[#This Row],[Crop]],Input_Scenario,8,FALSE)*Mammal_Chronic[[#This Row],[SVm]],""),"")</f>
        <v/>
      </c>
      <c r="R207" s="371" t="str">
        <f ca="1">IF($B$3&lt;&gt;"Passive",IFERROR(IF(ISNUMBER(INDEX(Active[M_NOAEL], 5)),
                          INDEX(Active[M_NOAEL], 5)/Q207,""),""),"")</f>
        <v/>
      </c>
    </row>
    <row r="208" spans="1:18">
      <c r="A208" s="56"/>
      <c r="B208" s="314" t="str">
        <f t="shared" ca="1" si="6"/>
        <v>No input</v>
      </c>
      <c r="C208" s="72" t="s">
        <v>178</v>
      </c>
      <c r="D208" s="73" t="s">
        <v>109</v>
      </c>
      <c r="E208" s="73" t="s">
        <v>275</v>
      </c>
      <c r="F208" s="113">
        <v>4.3</v>
      </c>
      <c r="G208" s="203" t="str">
        <f ca="1">IF(AND(Mammal_Chronic[[#This Row],[Relevance]]="Input provided", Count&gt;=1),
       IF(M_ChronicScheme="C(mix)",
                 HLOOKUP(Mammal_Chronic[[#This Row],[Crop]], Input_Scenario,10,FALSE)*Mammal_Chronic[[#This Row],[SVm]]*HLOOKUP(Mammal_Chronic[[#This Row],[Crop]],Input_Scenario,8,FALSE),""),"")</f>
        <v/>
      </c>
      <c r="H208" s="368" t="str">
        <f t="shared" si="7"/>
        <v/>
      </c>
      <c r="I208" s="370" t="str">
        <f>IFERROR(IF(Active1=TRUE,HLOOKUP(Mammal_Chronic[[#This Row],[Crop]],Input_Scenario,11,FALSE)*HLOOKUP(Mammal_Chronic[[#This Row],[Crop]],Input_Scenario,8,FALSE)*Mammal_Chronic[[#This Row],[SVm]],""),"")</f>
        <v/>
      </c>
      <c r="J208" s="370" t="str">
        <f t="shared" ca="1" si="8"/>
        <v/>
      </c>
      <c r="K208" s="370" t="str">
        <f>IFERROR(IF(Active2=TRUE,HLOOKUP(Mammal_Chronic[[#This Row],[Crop]],Input_Scenario,12,FALSE)*HLOOKUP(Mammal_Chronic[[#This Row],[Crop]],Input_Scenario,8,FALSE)*Mammal_Chronic[[#This Row],[SVm]],""),"")</f>
        <v/>
      </c>
      <c r="L208" s="370" t="str">
        <f ca="1">IF($B$3&lt;&gt;"Passive",IFERROR(IF(ISNUMBER(INDEX(Active[M_NOAEL], 2)),
                          INDEX(Active[M_NOAEL], 2)/K208,""),""),"")</f>
        <v/>
      </c>
      <c r="M208" s="370" t="str">
        <f>IFERROR(IF(Active3=TRUE,HLOOKUP(Mammal_Chronic[[#This Row],[Crop]],Input_Scenario,13,FALSE)*HLOOKUP(Mammal_Chronic[[#This Row],[Crop]],Input_Scenario,8,FALSE)*Mammal_Chronic[[#This Row],[SVm]],""),"")</f>
        <v/>
      </c>
      <c r="N208" s="370" t="str">
        <f ca="1">IF($B$3&lt;&gt;"Passive",IFERROR(IF(ISNUMBER(INDEX(Active[M_NOAEL], 3)),
                          INDEX(Active[M_NOAEL], 3)/M208,""),""),"")</f>
        <v/>
      </c>
      <c r="O208" s="370" t="str">
        <f>IFERROR(IF(Active4=TRUE,HLOOKUP(Mammal_Chronic[[#This Row],[Crop]],Input_Scenario,14,FALSE)*HLOOKUP(Mammal_Chronic[[#This Row],[Crop]],Input_Scenario,8,FALSE)*Mammal_Chronic[[#This Row],[SVm]],""),"")</f>
        <v/>
      </c>
      <c r="P208" s="370" t="str">
        <f ca="1">IF($B$3&lt;&gt;"Passive",IFERROR(IF(ISNUMBER(INDEX(Active[M_NOAEL], 4)),
                          INDEX(Active[M_NOAEL], 4)/O208,""),""),"")</f>
        <v/>
      </c>
      <c r="Q208" s="371" t="str">
        <f>IFERROR(IF(Active5=TRUE,HLOOKUP(Mammal_Chronic[[#This Row],[Crop]],Input_Scenario,15,FALSE)*HLOOKUP(Mammal_Chronic[[#This Row],[Crop]],Input_Scenario,8,FALSE)*Mammal_Chronic[[#This Row],[SVm]],""),"")</f>
        <v/>
      </c>
      <c r="R208" s="371" t="str">
        <f ca="1">IF($B$3&lt;&gt;"Passive",IFERROR(IF(ISNUMBER(INDEX(Active[M_NOAEL], 5)),
                          INDEX(Active[M_NOAEL], 5)/Q208,""),""),"")</f>
        <v/>
      </c>
    </row>
    <row r="209" spans="1:18">
      <c r="A209" s="56"/>
      <c r="B209" s="314" t="str">
        <f t="shared" ca="1" si="6"/>
        <v>No input</v>
      </c>
      <c r="C209" s="72" t="s">
        <v>178</v>
      </c>
      <c r="D209" s="73" t="s">
        <v>109</v>
      </c>
      <c r="E209" s="73" t="s">
        <v>271</v>
      </c>
      <c r="F209" s="113">
        <v>2.2999999999999998</v>
      </c>
      <c r="G209" s="203" t="str">
        <f ca="1">IF(AND(Mammal_Chronic[[#This Row],[Relevance]]="Input provided", Count&gt;=1),
       IF(M_ChronicScheme="C(mix)",
                 HLOOKUP(Mammal_Chronic[[#This Row],[Crop]], Input_Scenario,10,FALSE)*Mammal_Chronic[[#This Row],[SVm]]*HLOOKUP(Mammal_Chronic[[#This Row],[Crop]],Input_Scenario,8,FALSE),""),"")</f>
        <v/>
      </c>
      <c r="H209" s="368" t="str">
        <f t="shared" si="7"/>
        <v/>
      </c>
      <c r="I209" s="370" t="str">
        <f>IFERROR(IF(Active1=TRUE,HLOOKUP(Mammal_Chronic[[#This Row],[Crop]],Input_Scenario,11,FALSE)*HLOOKUP(Mammal_Chronic[[#This Row],[Crop]],Input_Scenario,8,FALSE)*Mammal_Chronic[[#This Row],[SVm]],""),"")</f>
        <v/>
      </c>
      <c r="J209" s="370" t="str">
        <f t="shared" ca="1" si="8"/>
        <v/>
      </c>
      <c r="K209" s="370" t="str">
        <f>IFERROR(IF(Active2=TRUE,HLOOKUP(Mammal_Chronic[[#This Row],[Crop]],Input_Scenario,12,FALSE)*HLOOKUP(Mammal_Chronic[[#This Row],[Crop]],Input_Scenario,8,FALSE)*Mammal_Chronic[[#This Row],[SVm]],""),"")</f>
        <v/>
      </c>
      <c r="L209" s="370" t="str">
        <f ca="1">IF($B$3&lt;&gt;"Passive",IFERROR(IF(ISNUMBER(INDEX(Active[M_NOAEL], 2)),
                          INDEX(Active[M_NOAEL], 2)/K209,""),""),"")</f>
        <v/>
      </c>
      <c r="M209" s="370" t="str">
        <f>IFERROR(IF(Active3=TRUE,HLOOKUP(Mammal_Chronic[[#This Row],[Crop]],Input_Scenario,13,FALSE)*HLOOKUP(Mammal_Chronic[[#This Row],[Crop]],Input_Scenario,8,FALSE)*Mammal_Chronic[[#This Row],[SVm]],""),"")</f>
        <v/>
      </c>
      <c r="N209" s="370" t="str">
        <f ca="1">IF($B$3&lt;&gt;"Passive",IFERROR(IF(ISNUMBER(INDEX(Active[M_NOAEL], 3)),
                          INDEX(Active[M_NOAEL], 3)/M209,""),""),"")</f>
        <v/>
      </c>
      <c r="O209" s="370" t="str">
        <f>IFERROR(IF(Active4=TRUE,HLOOKUP(Mammal_Chronic[[#This Row],[Crop]],Input_Scenario,14,FALSE)*HLOOKUP(Mammal_Chronic[[#This Row],[Crop]],Input_Scenario,8,FALSE)*Mammal_Chronic[[#This Row],[SVm]],""),"")</f>
        <v/>
      </c>
      <c r="P209" s="370" t="str">
        <f ca="1">IF($B$3&lt;&gt;"Passive",IFERROR(IF(ISNUMBER(INDEX(Active[M_NOAEL], 4)),
                          INDEX(Active[M_NOAEL], 4)/O209,""),""),"")</f>
        <v/>
      </c>
      <c r="Q209" s="371" t="str">
        <f>IFERROR(IF(Active5=TRUE,HLOOKUP(Mammal_Chronic[[#This Row],[Crop]],Input_Scenario,15,FALSE)*HLOOKUP(Mammal_Chronic[[#This Row],[Crop]],Input_Scenario,8,FALSE)*Mammal_Chronic[[#This Row],[SVm]],""),"")</f>
        <v/>
      </c>
      <c r="R209" s="371" t="str">
        <f ca="1">IF($B$3&lt;&gt;"Passive",IFERROR(IF(ISNUMBER(INDEX(Active[M_NOAEL], 5)),
                          INDEX(Active[M_NOAEL], 5)/Q209,""),""),"")</f>
        <v/>
      </c>
    </row>
    <row r="210" spans="1:18">
      <c r="A210" s="56"/>
      <c r="B210" s="314" t="str">
        <f t="shared" ca="1" si="6"/>
        <v>No input</v>
      </c>
      <c r="C210" s="72" t="s">
        <v>179</v>
      </c>
      <c r="D210" s="73" t="s">
        <v>108</v>
      </c>
      <c r="E210" s="73" t="s">
        <v>272</v>
      </c>
      <c r="F210" s="113">
        <v>4.2</v>
      </c>
      <c r="G210" s="203" t="str">
        <f ca="1">IF(AND(Mammal_Chronic[[#This Row],[Relevance]]="Input provided", Count&gt;=1),
       IF(M_ChronicScheme="C(mix)",
                 HLOOKUP(Mammal_Chronic[[#This Row],[Crop]], Input_Scenario,10,FALSE)*Mammal_Chronic[[#This Row],[SVm]]*HLOOKUP(Mammal_Chronic[[#This Row],[Crop]],Input_Scenario,8,FALSE),""),"")</f>
        <v/>
      </c>
      <c r="H210" s="368" t="str">
        <f t="shared" si="7"/>
        <v/>
      </c>
      <c r="I210" s="370" t="str">
        <f>IFERROR(IF(Active1=TRUE,HLOOKUP(Mammal_Chronic[[#This Row],[Crop]],Input_Scenario,11,FALSE)*HLOOKUP(Mammal_Chronic[[#This Row],[Crop]],Input_Scenario,8,FALSE)*Mammal_Chronic[[#This Row],[SVm]],""),"")</f>
        <v/>
      </c>
      <c r="J210" s="370" t="str">
        <f t="shared" ca="1" si="8"/>
        <v/>
      </c>
      <c r="K210" s="370" t="str">
        <f>IFERROR(IF(Active2=TRUE,HLOOKUP(Mammal_Chronic[[#This Row],[Crop]],Input_Scenario,12,FALSE)*HLOOKUP(Mammal_Chronic[[#This Row],[Crop]],Input_Scenario,8,FALSE)*Mammal_Chronic[[#This Row],[SVm]],""),"")</f>
        <v/>
      </c>
      <c r="L210" s="370" t="str">
        <f ca="1">IF($B$3&lt;&gt;"Passive",IFERROR(IF(ISNUMBER(INDEX(Active[M_NOAEL], 2)),
                          INDEX(Active[M_NOAEL], 2)/K210,""),""),"")</f>
        <v/>
      </c>
      <c r="M210" s="370" t="str">
        <f>IFERROR(IF(Active3=TRUE,HLOOKUP(Mammal_Chronic[[#This Row],[Crop]],Input_Scenario,13,FALSE)*HLOOKUP(Mammal_Chronic[[#This Row],[Crop]],Input_Scenario,8,FALSE)*Mammal_Chronic[[#This Row],[SVm]],""),"")</f>
        <v/>
      </c>
      <c r="N210" s="370" t="str">
        <f ca="1">IF($B$3&lt;&gt;"Passive",IFERROR(IF(ISNUMBER(INDEX(Active[M_NOAEL], 3)),
                          INDEX(Active[M_NOAEL], 3)/M210,""),""),"")</f>
        <v/>
      </c>
      <c r="O210" s="370" t="str">
        <f>IFERROR(IF(Active4=TRUE,HLOOKUP(Mammal_Chronic[[#This Row],[Crop]],Input_Scenario,14,FALSE)*HLOOKUP(Mammal_Chronic[[#This Row],[Crop]],Input_Scenario,8,FALSE)*Mammal_Chronic[[#This Row],[SVm]],""),"")</f>
        <v/>
      </c>
      <c r="P210" s="370" t="str">
        <f ca="1">IF($B$3&lt;&gt;"Passive",IFERROR(IF(ISNUMBER(INDEX(Active[M_NOAEL], 4)),
                          INDEX(Active[M_NOAEL], 4)/O210,""),""),"")</f>
        <v/>
      </c>
      <c r="Q210" s="371" t="str">
        <f>IFERROR(IF(Active5=TRUE,HLOOKUP(Mammal_Chronic[[#This Row],[Crop]],Input_Scenario,15,FALSE)*HLOOKUP(Mammal_Chronic[[#This Row],[Crop]],Input_Scenario,8,FALSE)*Mammal_Chronic[[#This Row],[SVm]],""),"")</f>
        <v/>
      </c>
      <c r="R210" s="371" t="str">
        <f ca="1">IF($B$3&lt;&gt;"Passive",IFERROR(IF(ISNUMBER(INDEX(Active[M_NOAEL], 5)),
                          INDEX(Active[M_NOAEL], 5)/Q210,""),""),"")</f>
        <v/>
      </c>
    </row>
    <row r="211" spans="1:18">
      <c r="A211" s="56"/>
      <c r="B211" s="314" t="str">
        <f t="shared" ca="1" si="6"/>
        <v>No input</v>
      </c>
      <c r="C211" s="72" t="s">
        <v>179</v>
      </c>
      <c r="D211" s="73" t="s">
        <v>132</v>
      </c>
      <c r="E211" s="73" t="s">
        <v>275</v>
      </c>
      <c r="F211" s="113">
        <v>14.3</v>
      </c>
      <c r="G211" s="203" t="str">
        <f ca="1">IF(AND(Mammal_Chronic[[#This Row],[Relevance]]="Input provided", Count&gt;=1),
       IF(M_ChronicScheme="C(mix)",
                 HLOOKUP(Mammal_Chronic[[#This Row],[Crop]], Input_Scenario,10,FALSE)*Mammal_Chronic[[#This Row],[SVm]]*HLOOKUP(Mammal_Chronic[[#This Row],[Crop]],Input_Scenario,8,FALSE),""),"")</f>
        <v/>
      </c>
      <c r="H211" s="368" t="str">
        <f t="shared" si="7"/>
        <v/>
      </c>
      <c r="I211" s="370" t="str">
        <f>IFERROR(IF(Active1=TRUE,HLOOKUP(Mammal_Chronic[[#This Row],[Crop]],Input_Scenario,11,FALSE)*HLOOKUP(Mammal_Chronic[[#This Row],[Crop]],Input_Scenario,8,FALSE)*Mammal_Chronic[[#This Row],[SVm]],""),"")</f>
        <v/>
      </c>
      <c r="J211" s="370" t="str">
        <f t="shared" ca="1" si="8"/>
        <v/>
      </c>
      <c r="K211" s="370" t="str">
        <f>IFERROR(IF(Active2=TRUE,HLOOKUP(Mammal_Chronic[[#This Row],[Crop]],Input_Scenario,12,FALSE)*HLOOKUP(Mammal_Chronic[[#This Row],[Crop]],Input_Scenario,8,FALSE)*Mammal_Chronic[[#This Row],[SVm]],""),"")</f>
        <v/>
      </c>
      <c r="L211" s="370" t="str">
        <f ca="1">IF($B$3&lt;&gt;"Passive",IFERROR(IF(ISNUMBER(INDEX(Active[M_NOAEL], 2)),
                          INDEX(Active[M_NOAEL], 2)/K211,""),""),"")</f>
        <v/>
      </c>
      <c r="M211" s="370" t="str">
        <f>IFERROR(IF(Active3=TRUE,HLOOKUP(Mammal_Chronic[[#This Row],[Crop]],Input_Scenario,13,FALSE)*HLOOKUP(Mammal_Chronic[[#This Row],[Crop]],Input_Scenario,8,FALSE)*Mammal_Chronic[[#This Row],[SVm]],""),"")</f>
        <v/>
      </c>
      <c r="N211" s="370" t="str">
        <f ca="1">IF($B$3&lt;&gt;"Passive",IFERROR(IF(ISNUMBER(INDEX(Active[M_NOAEL], 3)),
                          INDEX(Active[M_NOAEL], 3)/M211,""),""),"")</f>
        <v/>
      </c>
      <c r="O211" s="370" t="str">
        <f>IFERROR(IF(Active4=TRUE,HLOOKUP(Mammal_Chronic[[#This Row],[Crop]],Input_Scenario,14,FALSE)*HLOOKUP(Mammal_Chronic[[#This Row],[Crop]],Input_Scenario,8,FALSE)*Mammal_Chronic[[#This Row],[SVm]],""),"")</f>
        <v/>
      </c>
      <c r="P211" s="370" t="str">
        <f ca="1">IF($B$3&lt;&gt;"Passive",IFERROR(IF(ISNUMBER(INDEX(Active[M_NOAEL], 4)),
                          INDEX(Active[M_NOAEL], 4)/O211,""),""),"")</f>
        <v/>
      </c>
      <c r="Q211" s="371" t="str">
        <f>IFERROR(IF(Active5=TRUE,HLOOKUP(Mammal_Chronic[[#This Row],[Crop]],Input_Scenario,15,FALSE)*HLOOKUP(Mammal_Chronic[[#This Row],[Crop]],Input_Scenario,8,FALSE)*Mammal_Chronic[[#This Row],[SVm]],""),"")</f>
        <v/>
      </c>
      <c r="R211" s="371" t="str">
        <f ca="1">IF($B$3&lt;&gt;"Passive",IFERROR(IF(ISNUMBER(INDEX(Active[M_NOAEL], 5)),
                          INDEX(Active[M_NOAEL], 5)/Q211,""),""),"")</f>
        <v/>
      </c>
    </row>
    <row r="212" spans="1:18">
      <c r="A212" s="56"/>
      <c r="B212" s="314" t="str">
        <f t="shared" ca="1" si="6"/>
        <v>No input</v>
      </c>
      <c r="C212" s="72" t="s">
        <v>179</v>
      </c>
      <c r="D212" s="73" t="s">
        <v>132</v>
      </c>
      <c r="E212" s="73" t="s">
        <v>271</v>
      </c>
      <c r="F212" s="113">
        <v>7.8</v>
      </c>
      <c r="G212" s="203" t="str">
        <f ca="1">IF(AND(Mammal_Chronic[[#This Row],[Relevance]]="Input provided", Count&gt;=1),
       IF(M_ChronicScheme="C(mix)",
                 HLOOKUP(Mammal_Chronic[[#This Row],[Crop]], Input_Scenario,10,FALSE)*Mammal_Chronic[[#This Row],[SVm]]*HLOOKUP(Mammal_Chronic[[#This Row],[Crop]],Input_Scenario,8,FALSE),""),"")</f>
        <v/>
      </c>
      <c r="H212" s="368" t="str">
        <f t="shared" si="7"/>
        <v/>
      </c>
      <c r="I212" s="370" t="str">
        <f>IFERROR(IF(Active1=TRUE,HLOOKUP(Mammal_Chronic[[#This Row],[Crop]],Input_Scenario,11,FALSE)*HLOOKUP(Mammal_Chronic[[#This Row],[Crop]],Input_Scenario,8,FALSE)*Mammal_Chronic[[#This Row],[SVm]],""),"")</f>
        <v/>
      </c>
      <c r="J212" s="370" t="str">
        <f t="shared" ca="1" si="8"/>
        <v/>
      </c>
      <c r="K212" s="370" t="str">
        <f>IFERROR(IF(Active2=TRUE,HLOOKUP(Mammal_Chronic[[#This Row],[Crop]],Input_Scenario,12,FALSE)*HLOOKUP(Mammal_Chronic[[#This Row],[Crop]],Input_Scenario,8,FALSE)*Mammal_Chronic[[#This Row],[SVm]],""),"")</f>
        <v/>
      </c>
      <c r="L212" s="370" t="str">
        <f ca="1">IF($B$3&lt;&gt;"Passive",IFERROR(IF(ISNUMBER(INDEX(Active[M_NOAEL], 2)),
                          INDEX(Active[M_NOAEL], 2)/K212,""),""),"")</f>
        <v/>
      </c>
      <c r="M212" s="370" t="str">
        <f>IFERROR(IF(Active3=TRUE,HLOOKUP(Mammal_Chronic[[#This Row],[Crop]],Input_Scenario,13,FALSE)*HLOOKUP(Mammal_Chronic[[#This Row],[Crop]],Input_Scenario,8,FALSE)*Mammal_Chronic[[#This Row],[SVm]],""),"")</f>
        <v/>
      </c>
      <c r="N212" s="370" t="str">
        <f ca="1">IF($B$3&lt;&gt;"Passive",IFERROR(IF(ISNUMBER(INDEX(Active[M_NOAEL], 3)),
                          INDEX(Active[M_NOAEL], 3)/M212,""),""),"")</f>
        <v/>
      </c>
      <c r="O212" s="370" t="str">
        <f>IFERROR(IF(Active4=TRUE,HLOOKUP(Mammal_Chronic[[#This Row],[Crop]],Input_Scenario,14,FALSE)*HLOOKUP(Mammal_Chronic[[#This Row],[Crop]],Input_Scenario,8,FALSE)*Mammal_Chronic[[#This Row],[SVm]],""),"")</f>
        <v/>
      </c>
      <c r="P212" s="370" t="str">
        <f ca="1">IF($B$3&lt;&gt;"Passive",IFERROR(IF(ISNUMBER(INDEX(Active[M_NOAEL], 4)),
                          INDEX(Active[M_NOAEL], 4)/O212,""),""),"")</f>
        <v/>
      </c>
      <c r="Q212" s="371" t="str">
        <f>IFERROR(IF(Active5=TRUE,HLOOKUP(Mammal_Chronic[[#This Row],[Crop]],Input_Scenario,15,FALSE)*HLOOKUP(Mammal_Chronic[[#This Row],[Crop]],Input_Scenario,8,FALSE)*Mammal_Chronic[[#This Row],[SVm]],""),"")</f>
        <v/>
      </c>
      <c r="R212" s="371" t="str">
        <f ca="1">IF($B$3&lt;&gt;"Passive",IFERROR(IF(ISNUMBER(INDEX(Active[M_NOAEL], 5)),
                          INDEX(Active[M_NOAEL], 5)/Q212,""),""),"")</f>
        <v/>
      </c>
    </row>
    <row r="213" spans="1:18">
      <c r="A213" s="56"/>
      <c r="B213" s="314" t="str">
        <f t="shared" ca="1" si="6"/>
        <v>No input</v>
      </c>
      <c r="C213" s="72" t="s">
        <v>179</v>
      </c>
      <c r="D213" s="73" t="s">
        <v>111</v>
      </c>
      <c r="E213" s="73" t="s">
        <v>272</v>
      </c>
      <c r="F213" s="113">
        <v>1.9</v>
      </c>
      <c r="G213" s="203" t="str">
        <f ca="1">IF(AND(Mammal_Chronic[[#This Row],[Relevance]]="Input provided", Count&gt;=1),
       IF(M_ChronicScheme="C(mix)",
                 HLOOKUP(Mammal_Chronic[[#This Row],[Crop]], Input_Scenario,10,FALSE)*Mammal_Chronic[[#This Row],[SVm]]*HLOOKUP(Mammal_Chronic[[#This Row],[Crop]],Input_Scenario,8,FALSE),""),"")</f>
        <v/>
      </c>
      <c r="H213" s="368" t="str">
        <f t="shared" si="7"/>
        <v/>
      </c>
      <c r="I213" s="370" t="str">
        <f>IFERROR(IF(Active1=TRUE,HLOOKUP(Mammal_Chronic[[#This Row],[Crop]],Input_Scenario,11,FALSE)*HLOOKUP(Mammal_Chronic[[#This Row],[Crop]],Input_Scenario,8,FALSE)*Mammal_Chronic[[#This Row],[SVm]],""),"")</f>
        <v/>
      </c>
      <c r="J213" s="370" t="str">
        <f t="shared" ca="1" si="8"/>
        <v/>
      </c>
      <c r="K213" s="370" t="str">
        <f>IFERROR(IF(Active2=TRUE,HLOOKUP(Mammal_Chronic[[#This Row],[Crop]],Input_Scenario,12,FALSE)*HLOOKUP(Mammal_Chronic[[#This Row],[Crop]],Input_Scenario,8,FALSE)*Mammal_Chronic[[#This Row],[SVm]],""),"")</f>
        <v/>
      </c>
      <c r="L213" s="370" t="str">
        <f ca="1">IF($B$3&lt;&gt;"Passive",IFERROR(IF(ISNUMBER(INDEX(Active[M_NOAEL], 2)),
                          INDEX(Active[M_NOAEL], 2)/K213,""),""),"")</f>
        <v/>
      </c>
      <c r="M213" s="370" t="str">
        <f>IFERROR(IF(Active3=TRUE,HLOOKUP(Mammal_Chronic[[#This Row],[Crop]],Input_Scenario,13,FALSE)*HLOOKUP(Mammal_Chronic[[#This Row],[Crop]],Input_Scenario,8,FALSE)*Mammal_Chronic[[#This Row],[SVm]],""),"")</f>
        <v/>
      </c>
      <c r="N213" s="370" t="str">
        <f ca="1">IF($B$3&lt;&gt;"Passive",IFERROR(IF(ISNUMBER(INDEX(Active[M_NOAEL], 3)),
                          INDEX(Active[M_NOAEL], 3)/M213,""),""),"")</f>
        <v/>
      </c>
      <c r="O213" s="370" t="str">
        <f>IFERROR(IF(Active4=TRUE,HLOOKUP(Mammal_Chronic[[#This Row],[Crop]],Input_Scenario,14,FALSE)*HLOOKUP(Mammal_Chronic[[#This Row],[Crop]],Input_Scenario,8,FALSE)*Mammal_Chronic[[#This Row],[SVm]],""),"")</f>
        <v/>
      </c>
      <c r="P213" s="370" t="str">
        <f ca="1">IF($B$3&lt;&gt;"Passive",IFERROR(IF(ISNUMBER(INDEX(Active[M_NOAEL], 4)),
                          INDEX(Active[M_NOAEL], 4)/O213,""),""),"")</f>
        <v/>
      </c>
      <c r="Q213" s="371" t="str">
        <f>IFERROR(IF(Active5=TRUE,HLOOKUP(Mammal_Chronic[[#This Row],[Crop]],Input_Scenario,15,FALSE)*HLOOKUP(Mammal_Chronic[[#This Row],[Crop]],Input_Scenario,8,FALSE)*Mammal_Chronic[[#This Row],[SVm]],""),"")</f>
        <v/>
      </c>
      <c r="R213" s="371" t="str">
        <f ca="1">IF($B$3&lt;&gt;"Passive",IFERROR(IF(ISNUMBER(INDEX(Active[M_NOAEL], 5)),
                          INDEX(Active[M_NOAEL], 5)/Q213,""),""),"")</f>
        <v/>
      </c>
    </row>
    <row r="214" spans="1:18">
      <c r="A214" s="56"/>
      <c r="B214" s="314" t="str">
        <f t="shared" ca="1" si="6"/>
        <v>No input</v>
      </c>
      <c r="C214" s="72" t="s">
        <v>179</v>
      </c>
      <c r="D214" s="73" t="s">
        <v>257</v>
      </c>
      <c r="E214" s="73" t="s">
        <v>279</v>
      </c>
      <c r="F214" s="113">
        <v>72.3</v>
      </c>
      <c r="G214" s="203" t="str">
        <f ca="1">IF(AND(Mammal_Chronic[[#This Row],[Relevance]]="Input provided", Count&gt;=1),
       IF(M_ChronicScheme="C(mix)",
                 HLOOKUP(Mammal_Chronic[[#This Row],[Crop]], Input_Scenario,10,FALSE)*Mammal_Chronic[[#This Row],[SVm]]*HLOOKUP(Mammal_Chronic[[#This Row],[Crop]],Input_Scenario,8,FALSE),""),"")</f>
        <v/>
      </c>
      <c r="H214" s="368" t="str">
        <f t="shared" si="7"/>
        <v/>
      </c>
      <c r="I214" s="370" t="str">
        <f>IFERROR(IF(Active1=TRUE,HLOOKUP(Mammal_Chronic[[#This Row],[Crop]],Input_Scenario,11,FALSE)*HLOOKUP(Mammal_Chronic[[#This Row],[Crop]],Input_Scenario,8,FALSE)*Mammal_Chronic[[#This Row],[SVm]],""),"")</f>
        <v/>
      </c>
      <c r="J214" s="370" t="str">
        <f t="shared" ca="1" si="8"/>
        <v/>
      </c>
      <c r="K214" s="370" t="str">
        <f>IFERROR(IF(Active2=TRUE,HLOOKUP(Mammal_Chronic[[#This Row],[Crop]],Input_Scenario,12,FALSE)*HLOOKUP(Mammal_Chronic[[#This Row],[Crop]],Input_Scenario,8,FALSE)*Mammal_Chronic[[#This Row],[SVm]],""),"")</f>
        <v/>
      </c>
      <c r="L214" s="370" t="str">
        <f ca="1">IF($B$3&lt;&gt;"Passive",IFERROR(IF(ISNUMBER(INDEX(Active[M_NOAEL], 2)),
                          INDEX(Active[M_NOAEL], 2)/K214,""),""),"")</f>
        <v/>
      </c>
      <c r="M214" s="370" t="str">
        <f>IFERROR(IF(Active3=TRUE,HLOOKUP(Mammal_Chronic[[#This Row],[Crop]],Input_Scenario,13,FALSE)*HLOOKUP(Mammal_Chronic[[#This Row],[Crop]],Input_Scenario,8,FALSE)*Mammal_Chronic[[#This Row],[SVm]],""),"")</f>
        <v/>
      </c>
      <c r="N214" s="370" t="str">
        <f ca="1">IF($B$3&lt;&gt;"Passive",IFERROR(IF(ISNUMBER(INDEX(Active[M_NOAEL], 3)),
                          INDEX(Active[M_NOAEL], 3)/M214,""),""),"")</f>
        <v/>
      </c>
      <c r="O214" s="370" t="str">
        <f>IFERROR(IF(Active4=TRUE,HLOOKUP(Mammal_Chronic[[#This Row],[Crop]],Input_Scenario,14,FALSE)*HLOOKUP(Mammal_Chronic[[#This Row],[Crop]],Input_Scenario,8,FALSE)*Mammal_Chronic[[#This Row],[SVm]],""),"")</f>
        <v/>
      </c>
      <c r="P214" s="370" t="str">
        <f ca="1">IF($B$3&lt;&gt;"Passive",IFERROR(IF(ISNUMBER(INDEX(Active[M_NOAEL], 4)),
                          INDEX(Active[M_NOAEL], 4)/O214,""),""),"")</f>
        <v/>
      </c>
      <c r="Q214" s="371" t="str">
        <f>IFERROR(IF(Active5=TRUE,HLOOKUP(Mammal_Chronic[[#This Row],[Crop]],Input_Scenario,15,FALSE)*HLOOKUP(Mammal_Chronic[[#This Row],[Crop]],Input_Scenario,8,FALSE)*Mammal_Chronic[[#This Row],[SVm]],""),"")</f>
        <v/>
      </c>
      <c r="R214" s="371" t="str">
        <f ca="1">IF($B$3&lt;&gt;"Passive",IFERROR(IF(ISNUMBER(INDEX(Active[M_NOAEL], 5)),
                          INDEX(Active[M_NOAEL], 5)/Q214,""),""),"")</f>
        <v/>
      </c>
    </row>
    <row r="215" spans="1:18">
      <c r="A215" s="56"/>
      <c r="B215" s="314" t="str">
        <f t="shared" ca="1" si="6"/>
        <v>No input</v>
      </c>
      <c r="C215" s="72" t="s">
        <v>179</v>
      </c>
      <c r="D215" s="73" t="s">
        <v>134</v>
      </c>
      <c r="E215" s="73" t="s">
        <v>273</v>
      </c>
      <c r="F215" s="113">
        <v>21.7</v>
      </c>
      <c r="G215" s="203" t="str">
        <f ca="1">IF(AND(Mammal_Chronic[[#This Row],[Relevance]]="Input provided", Count&gt;=1),
       IF(M_ChronicScheme="C(mix)",
                 HLOOKUP(Mammal_Chronic[[#This Row],[Crop]], Input_Scenario,10,FALSE)*Mammal_Chronic[[#This Row],[SVm]]*HLOOKUP(Mammal_Chronic[[#This Row],[Crop]],Input_Scenario,8,FALSE),""),"")</f>
        <v/>
      </c>
      <c r="H215" s="368" t="str">
        <f t="shared" si="7"/>
        <v/>
      </c>
      <c r="I215" s="370" t="str">
        <f>IFERROR(IF(Active1=TRUE,HLOOKUP(Mammal_Chronic[[#This Row],[Crop]],Input_Scenario,11,FALSE)*HLOOKUP(Mammal_Chronic[[#This Row],[Crop]],Input_Scenario,8,FALSE)*Mammal_Chronic[[#This Row],[SVm]],""),"")</f>
        <v/>
      </c>
      <c r="J215" s="370" t="str">
        <f t="shared" ca="1" si="8"/>
        <v/>
      </c>
      <c r="K215" s="370" t="str">
        <f>IFERROR(IF(Active2=TRUE,HLOOKUP(Mammal_Chronic[[#This Row],[Crop]],Input_Scenario,12,FALSE)*HLOOKUP(Mammal_Chronic[[#This Row],[Crop]],Input_Scenario,8,FALSE)*Mammal_Chronic[[#This Row],[SVm]],""),"")</f>
        <v/>
      </c>
      <c r="L215" s="370" t="str">
        <f ca="1">IF($B$3&lt;&gt;"Passive",IFERROR(IF(ISNUMBER(INDEX(Active[M_NOAEL], 2)),
                          INDEX(Active[M_NOAEL], 2)/K215,""),""),"")</f>
        <v/>
      </c>
      <c r="M215" s="370" t="str">
        <f>IFERROR(IF(Active3=TRUE,HLOOKUP(Mammal_Chronic[[#This Row],[Crop]],Input_Scenario,13,FALSE)*HLOOKUP(Mammal_Chronic[[#This Row],[Crop]],Input_Scenario,8,FALSE)*Mammal_Chronic[[#This Row],[SVm]],""),"")</f>
        <v/>
      </c>
      <c r="N215" s="370" t="str">
        <f ca="1">IF($B$3&lt;&gt;"Passive",IFERROR(IF(ISNUMBER(INDEX(Active[M_NOAEL], 3)),
                          INDEX(Active[M_NOAEL], 3)/M215,""),""),"")</f>
        <v/>
      </c>
      <c r="O215" s="370" t="str">
        <f>IFERROR(IF(Active4=TRUE,HLOOKUP(Mammal_Chronic[[#This Row],[Crop]],Input_Scenario,14,FALSE)*HLOOKUP(Mammal_Chronic[[#This Row],[Crop]],Input_Scenario,8,FALSE)*Mammal_Chronic[[#This Row],[SVm]],""),"")</f>
        <v/>
      </c>
      <c r="P215" s="370" t="str">
        <f ca="1">IF($B$3&lt;&gt;"Passive",IFERROR(IF(ISNUMBER(INDEX(Active[M_NOAEL], 4)),
                          INDEX(Active[M_NOAEL], 4)/O215,""),""),"")</f>
        <v/>
      </c>
      <c r="Q215" s="371" t="str">
        <f>IFERROR(IF(Active5=TRUE,HLOOKUP(Mammal_Chronic[[#This Row],[Crop]],Input_Scenario,15,FALSE)*HLOOKUP(Mammal_Chronic[[#This Row],[Crop]],Input_Scenario,8,FALSE)*Mammal_Chronic[[#This Row],[SVm]],""),"")</f>
        <v/>
      </c>
      <c r="R215" s="371" t="str">
        <f ca="1">IF($B$3&lt;&gt;"Passive",IFERROR(IF(ISNUMBER(INDEX(Active[M_NOAEL], 5)),
                          INDEX(Active[M_NOAEL], 5)/Q215,""),""),"")</f>
        <v/>
      </c>
    </row>
    <row r="216" spans="1:18">
      <c r="A216" s="56"/>
      <c r="B216" s="314" t="str">
        <f t="shared" ca="1" si="6"/>
        <v>No input</v>
      </c>
      <c r="C216" s="72" t="s">
        <v>179</v>
      </c>
      <c r="D216" s="73" t="s">
        <v>134</v>
      </c>
      <c r="E216" s="73" t="s">
        <v>275</v>
      </c>
      <c r="F216" s="113">
        <v>4.3</v>
      </c>
      <c r="G216" s="203" t="str">
        <f ca="1">IF(AND(Mammal_Chronic[[#This Row],[Relevance]]="Input provided", Count&gt;=1),
       IF(M_ChronicScheme="C(mix)",
                 HLOOKUP(Mammal_Chronic[[#This Row],[Crop]], Input_Scenario,10,FALSE)*Mammal_Chronic[[#This Row],[SVm]]*HLOOKUP(Mammal_Chronic[[#This Row],[Crop]],Input_Scenario,8,FALSE),""),"")</f>
        <v/>
      </c>
      <c r="H216" s="368" t="str">
        <f t="shared" si="7"/>
        <v/>
      </c>
      <c r="I216" s="370" t="str">
        <f>IFERROR(IF(Active1=TRUE,HLOOKUP(Mammal_Chronic[[#This Row],[Crop]],Input_Scenario,11,FALSE)*HLOOKUP(Mammal_Chronic[[#This Row],[Crop]],Input_Scenario,8,FALSE)*Mammal_Chronic[[#This Row],[SVm]],""),"")</f>
        <v/>
      </c>
      <c r="J216" s="370" t="str">
        <f t="shared" ca="1" si="8"/>
        <v/>
      </c>
      <c r="K216" s="370" t="str">
        <f>IFERROR(IF(Active2=TRUE,HLOOKUP(Mammal_Chronic[[#This Row],[Crop]],Input_Scenario,12,FALSE)*HLOOKUP(Mammal_Chronic[[#This Row],[Crop]],Input_Scenario,8,FALSE)*Mammal_Chronic[[#This Row],[SVm]],""),"")</f>
        <v/>
      </c>
      <c r="L216" s="370" t="str">
        <f ca="1">IF($B$3&lt;&gt;"Passive",IFERROR(IF(ISNUMBER(INDEX(Active[M_NOAEL], 2)),
                          INDEX(Active[M_NOAEL], 2)/K216,""),""),"")</f>
        <v/>
      </c>
      <c r="M216" s="370" t="str">
        <f>IFERROR(IF(Active3=TRUE,HLOOKUP(Mammal_Chronic[[#This Row],[Crop]],Input_Scenario,13,FALSE)*HLOOKUP(Mammal_Chronic[[#This Row],[Crop]],Input_Scenario,8,FALSE)*Mammal_Chronic[[#This Row],[SVm]],""),"")</f>
        <v/>
      </c>
      <c r="N216" s="370" t="str">
        <f ca="1">IF($B$3&lt;&gt;"Passive",IFERROR(IF(ISNUMBER(INDEX(Active[M_NOAEL], 3)),
                          INDEX(Active[M_NOAEL], 3)/M216,""),""),"")</f>
        <v/>
      </c>
      <c r="O216" s="370" t="str">
        <f>IFERROR(IF(Active4=TRUE,HLOOKUP(Mammal_Chronic[[#This Row],[Crop]],Input_Scenario,14,FALSE)*HLOOKUP(Mammal_Chronic[[#This Row],[Crop]],Input_Scenario,8,FALSE)*Mammal_Chronic[[#This Row],[SVm]],""),"")</f>
        <v/>
      </c>
      <c r="P216" s="370" t="str">
        <f ca="1">IF($B$3&lt;&gt;"Passive",IFERROR(IF(ISNUMBER(INDEX(Active[M_NOAEL], 4)),
                          INDEX(Active[M_NOAEL], 4)/O216,""),""),"")</f>
        <v/>
      </c>
      <c r="Q216" s="371" t="str">
        <f>IFERROR(IF(Active5=TRUE,HLOOKUP(Mammal_Chronic[[#This Row],[Crop]],Input_Scenario,15,FALSE)*HLOOKUP(Mammal_Chronic[[#This Row],[Crop]],Input_Scenario,8,FALSE)*Mammal_Chronic[[#This Row],[SVm]],""),"")</f>
        <v/>
      </c>
      <c r="R216" s="371" t="str">
        <f ca="1">IF($B$3&lt;&gt;"Passive",IFERROR(IF(ISNUMBER(INDEX(Active[M_NOAEL], 5)),
                          INDEX(Active[M_NOAEL], 5)/Q216,""),""),"")</f>
        <v/>
      </c>
    </row>
    <row r="217" spans="1:18">
      <c r="A217" s="56"/>
      <c r="B217" s="314" t="str">
        <f t="shared" ca="1" si="6"/>
        <v>No input</v>
      </c>
      <c r="C217" s="72" t="s">
        <v>179</v>
      </c>
      <c r="D217" s="73" t="s">
        <v>134</v>
      </c>
      <c r="E217" s="73" t="s">
        <v>271</v>
      </c>
      <c r="F217" s="113">
        <v>2.2999999999999998</v>
      </c>
      <c r="G217" s="203" t="str">
        <f ca="1">IF(AND(Mammal_Chronic[[#This Row],[Relevance]]="Input provided", Count&gt;=1),
       IF(M_ChronicScheme="C(mix)",
                 HLOOKUP(Mammal_Chronic[[#This Row],[Crop]], Input_Scenario,10,FALSE)*Mammal_Chronic[[#This Row],[SVm]]*HLOOKUP(Mammal_Chronic[[#This Row],[Crop]],Input_Scenario,8,FALSE),""),"")</f>
        <v/>
      </c>
      <c r="H217" s="368" t="str">
        <f t="shared" si="7"/>
        <v/>
      </c>
      <c r="I217" s="370" t="str">
        <f>IFERROR(IF(Active1=TRUE,HLOOKUP(Mammal_Chronic[[#This Row],[Crop]],Input_Scenario,11,FALSE)*HLOOKUP(Mammal_Chronic[[#This Row],[Crop]],Input_Scenario,8,FALSE)*Mammal_Chronic[[#This Row],[SVm]],""),"")</f>
        <v/>
      </c>
      <c r="J217" s="370" t="str">
        <f t="shared" ca="1" si="8"/>
        <v/>
      </c>
      <c r="K217" s="370" t="str">
        <f>IFERROR(IF(Active2=TRUE,HLOOKUP(Mammal_Chronic[[#This Row],[Crop]],Input_Scenario,12,FALSE)*HLOOKUP(Mammal_Chronic[[#This Row],[Crop]],Input_Scenario,8,FALSE)*Mammal_Chronic[[#This Row],[SVm]],""),"")</f>
        <v/>
      </c>
      <c r="L217" s="370" t="str">
        <f ca="1">IF($B$3&lt;&gt;"Passive",IFERROR(IF(ISNUMBER(INDEX(Active[M_NOAEL], 2)),
                          INDEX(Active[M_NOAEL], 2)/K217,""),""),"")</f>
        <v/>
      </c>
      <c r="M217" s="370" t="str">
        <f>IFERROR(IF(Active3=TRUE,HLOOKUP(Mammal_Chronic[[#This Row],[Crop]],Input_Scenario,13,FALSE)*HLOOKUP(Mammal_Chronic[[#This Row],[Crop]],Input_Scenario,8,FALSE)*Mammal_Chronic[[#This Row],[SVm]],""),"")</f>
        <v/>
      </c>
      <c r="N217" s="370" t="str">
        <f ca="1">IF($B$3&lt;&gt;"Passive",IFERROR(IF(ISNUMBER(INDEX(Active[M_NOAEL], 3)),
                          INDEX(Active[M_NOAEL], 3)/M217,""),""),"")</f>
        <v/>
      </c>
      <c r="O217" s="370" t="str">
        <f>IFERROR(IF(Active4=TRUE,HLOOKUP(Mammal_Chronic[[#This Row],[Crop]],Input_Scenario,14,FALSE)*HLOOKUP(Mammal_Chronic[[#This Row],[Crop]],Input_Scenario,8,FALSE)*Mammal_Chronic[[#This Row],[SVm]],""),"")</f>
        <v/>
      </c>
      <c r="P217" s="370" t="str">
        <f ca="1">IF($B$3&lt;&gt;"Passive",IFERROR(IF(ISNUMBER(INDEX(Active[M_NOAEL], 4)),
                          INDEX(Active[M_NOAEL], 4)/O217,""),""),"")</f>
        <v/>
      </c>
      <c r="Q217" s="371" t="str">
        <f>IFERROR(IF(Active5=TRUE,HLOOKUP(Mammal_Chronic[[#This Row],[Crop]],Input_Scenario,15,FALSE)*HLOOKUP(Mammal_Chronic[[#This Row],[Crop]],Input_Scenario,8,FALSE)*Mammal_Chronic[[#This Row],[SVm]],""),"")</f>
        <v/>
      </c>
      <c r="R217" s="371" t="str">
        <f ca="1">IF($B$3&lt;&gt;"Passive",IFERROR(IF(ISNUMBER(INDEX(Active[M_NOAEL], 5)),
                          INDEX(Active[M_NOAEL], 5)/Q217,""),""),"")</f>
        <v/>
      </c>
    </row>
    <row r="218" spans="1:18">
      <c r="A218" s="56"/>
      <c r="B218" s="314" t="str">
        <f t="shared" ca="1" si="6"/>
        <v>No input</v>
      </c>
      <c r="C218" s="72" t="s">
        <v>179</v>
      </c>
      <c r="D218" s="73" t="s">
        <v>266</v>
      </c>
      <c r="E218" s="73" t="s">
        <v>271</v>
      </c>
      <c r="F218" s="113">
        <v>6.6</v>
      </c>
      <c r="G218" s="203" t="str">
        <f ca="1">IF(AND(Mammal_Chronic[[#This Row],[Relevance]]="Input provided", Count&gt;=1),
       IF(M_ChronicScheme="C(mix)",
                 HLOOKUP(Mammal_Chronic[[#This Row],[Crop]], Input_Scenario,10,FALSE)*Mammal_Chronic[[#This Row],[SVm]]*HLOOKUP(Mammal_Chronic[[#This Row],[Crop]],Input_Scenario,8,FALSE),""),"")</f>
        <v/>
      </c>
      <c r="H218" s="368" t="str">
        <f t="shared" si="7"/>
        <v/>
      </c>
      <c r="I218" s="370" t="str">
        <f>IFERROR(IF(Active1=TRUE,HLOOKUP(Mammal_Chronic[[#This Row],[Crop]],Input_Scenario,11,FALSE)*HLOOKUP(Mammal_Chronic[[#This Row],[Crop]],Input_Scenario,8,FALSE)*Mammal_Chronic[[#This Row],[SVm]],""),"")</f>
        <v/>
      </c>
      <c r="J218" s="370" t="str">
        <f t="shared" ca="1" si="8"/>
        <v/>
      </c>
      <c r="K218" s="370" t="str">
        <f>IFERROR(IF(Active2=TRUE,HLOOKUP(Mammal_Chronic[[#This Row],[Crop]],Input_Scenario,12,FALSE)*HLOOKUP(Mammal_Chronic[[#This Row],[Crop]],Input_Scenario,8,FALSE)*Mammal_Chronic[[#This Row],[SVm]],""),"")</f>
        <v/>
      </c>
      <c r="L218" s="370" t="str">
        <f ca="1">IF($B$3&lt;&gt;"Passive",IFERROR(IF(ISNUMBER(INDEX(Active[M_NOAEL], 2)),
                          INDEX(Active[M_NOAEL], 2)/K218,""),""),"")</f>
        <v/>
      </c>
      <c r="M218" s="370" t="str">
        <f>IFERROR(IF(Active3=TRUE,HLOOKUP(Mammal_Chronic[[#This Row],[Crop]],Input_Scenario,13,FALSE)*HLOOKUP(Mammal_Chronic[[#This Row],[Crop]],Input_Scenario,8,FALSE)*Mammal_Chronic[[#This Row],[SVm]],""),"")</f>
        <v/>
      </c>
      <c r="N218" s="370" t="str">
        <f ca="1">IF($B$3&lt;&gt;"Passive",IFERROR(IF(ISNUMBER(INDEX(Active[M_NOAEL], 3)),
                          INDEX(Active[M_NOAEL], 3)/M218,""),""),"")</f>
        <v/>
      </c>
      <c r="O218" s="370" t="str">
        <f>IFERROR(IF(Active4=TRUE,HLOOKUP(Mammal_Chronic[[#This Row],[Crop]],Input_Scenario,14,FALSE)*HLOOKUP(Mammal_Chronic[[#This Row],[Crop]],Input_Scenario,8,FALSE)*Mammal_Chronic[[#This Row],[SVm]],""),"")</f>
        <v/>
      </c>
      <c r="P218" s="370" t="str">
        <f ca="1">IF($B$3&lt;&gt;"Passive",IFERROR(IF(ISNUMBER(INDEX(Active[M_NOAEL], 4)),
                          INDEX(Active[M_NOAEL], 4)/O218,""),""),"")</f>
        <v/>
      </c>
      <c r="Q218" s="371" t="str">
        <f>IFERROR(IF(Active5=TRUE,HLOOKUP(Mammal_Chronic[[#This Row],[Crop]],Input_Scenario,15,FALSE)*HLOOKUP(Mammal_Chronic[[#This Row],[Crop]],Input_Scenario,8,FALSE)*Mammal_Chronic[[#This Row],[SVm]],""),"")</f>
        <v/>
      </c>
      <c r="R218" s="371" t="str">
        <f ca="1">IF($B$3&lt;&gt;"Passive",IFERROR(IF(ISNUMBER(INDEX(Active[M_NOAEL], 5)),
                          INDEX(Active[M_NOAEL], 5)/Q218,""),""),"")</f>
        <v/>
      </c>
    </row>
    <row r="219" spans="1:18">
      <c r="A219" s="56"/>
      <c r="B219" s="314" t="str">
        <f t="shared" ca="1" si="6"/>
        <v>No input</v>
      </c>
      <c r="C219" s="72" t="s">
        <v>180</v>
      </c>
      <c r="D219" s="73" t="s">
        <v>108</v>
      </c>
      <c r="E219" s="73" t="s">
        <v>272</v>
      </c>
      <c r="F219" s="113">
        <v>4.2</v>
      </c>
      <c r="G219" s="203" t="str">
        <f ca="1">IF(AND(Mammal_Chronic[[#This Row],[Relevance]]="Input provided", Count&gt;=1),
       IF(M_ChronicScheme="C(mix)",
                 HLOOKUP(Mammal_Chronic[[#This Row],[Crop]], Input_Scenario,10,FALSE)*Mammal_Chronic[[#This Row],[SVm]]*HLOOKUP(Mammal_Chronic[[#This Row],[Crop]],Input_Scenario,8,FALSE),""),"")</f>
        <v/>
      </c>
      <c r="H219" s="368" t="str">
        <f t="shared" si="7"/>
        <v/>
      </c>
      <c r="I219" s="370" t="str">
        <f>IFERROR(IF(Active1=TRUE,HLOOKUP(Mammal_Chronic[[#This Row],[Crop]],Input_Scenario,11,FALSE)*HLOOKUP(Mammal_Chronic[[#This Row],[Crop]],Input_Scenario,8,FALSE)*Mammal_Chronic[[#This Row],[SVm]],""),"")</f>
        <v/>
      </c>
      <c r="J219" s="370" t="str">
        <f t="shared" ca="1" si="8"/>
        <v/>
      </c>
      <c r="K219" s="370" t="str">
        <f>IFERROR(IF(Active2=TRUE,HLOOKUP(Mammal_Chronic[[#This Row],[Crop]],Input_Scenario,12,FALSE)*HLOOKUP(Mammal_Chronic[[#This Row],[Crop]],Input_Scenario,8,FALSE)*Mammal_Chronic[[#This Row],[SVm]],""),"")</f>
        <v/>
      </c>
      <c r="L219" s="370" t="str">
        <f ca="1">IF($B$3&lt;&gt;"Passive",IFERROR(IF(ISNUMBER(INDEX(Active[M_NOAEL], 2)),
                          INDEX(Active[M_NOAEL], 2)/K219,""),""),"")</f>
        <v/>
      </c>
      <c r="M219" s="370" t="str">
        <f>IFERROR(IF(Active3=TRUE,HLOOKUP(Mammal_Chronic[[#This Row],[Crop]],Input_Scenario,13,FALSE)*HLOOKUP(Mammal_Chronic[[#This Row],[Crop]],Input_Scenario,8,FALSE)*Mammal_Chronic[[#This Row],[SVm]],""),"")</f>
        <v/>
      </c>
      <c r="N219" s="370" t="str">
        <f ca="1">IF($B$3&lt;&gt;"Passive",IFERROR(IF(ISNUMBER(INDEX(Active[M_NOAEL], 3)),
                          INDEX(Active[M_NOAEL], 3)/M219,""),""),"")</f>
        <v/>
      </c>
      <c r="O219" s="370" t="str">
        <f>IFERROR(IF(Active4=TRUE,HLOOKUP(Mammal_Chronic[[#This Row],[Crop]],Input_Scenario,14,FALSE)*HLOOKUP(Mammal_Chronic[[#This Row],[Crop]],Input_Scenario,8,FALSE)*Mammal_Chronic[[#This Row],[SVm]],""),"")</f>
        <v/>
      </c>
      <c r="P219" s="370" t="str">
        <f ca="1">IF($B$3&lt;&gt;"Passive",IFERROR(IF(ISNUMBER(INDEX(Active[M_NOAEL], 4)),
                          INDEX(Active[M_NOAEL], 4)/O219,""),""),"")</f>
        <v/>
      </c>
      <c r="Q219" s="371" t="str">
        <f>IFERROR(IF(Active5=TRUE,HLOOKUP(Mammal_Chronic[[#This Row],[Crop]],Input_Scenario,15,FALSE)*HLOOKUP(Mammal_Chronic[[#This Row],[Crop]],Input_Scenario,8,FALSE)*Mammal_Chronic[[#This Row],[SVm]],""),"")</f>
        <v/>
      </c>
      <c r="R219" s="371" t="str">
        <f ca="1">IF($B$3&lt;&gt;"Passive",IFERROR(IF(ISNUMBER(INDEX(Active[M_NOAEL], 5)),
                          INDEX(Active[M_NOAEL], 5)/Q219,""),""),"")</f>
        <v/>
      </c>
    </row>
    <row r="220" spans="1:18">
      <c r="A220" s="56"/>
      <c r="B220" s="314" t="str">
        <f t="shared" ca="1" si="6"/>
        <v>No input</v>
      </c>
      <c r="C220" s="72" t="s">
        <v>180</v>
      </c>
      <c r="D220" s="73" t="s">
        <v>110</v>
      </c>
      <c r="E220" s="73" t="s">
        <v>271</v>
      </c>
      <c r="F220" s="113">
        <v>7.8</v>
      </c>
      <c r="G220" s="203" t="str">
        <f ca="1">IF(AND(Mammal_Chronic[[#This Row],[Relevance]]="Input provided", Count&gt;=1),
       IF(M_ChronicScheme="C(mix)",
                 HLOOKUP(Mammal_Chronic[[#This Row],[Crop]], Input_Scenario,10,FALSE)*Mammal_Chronic[[#This Row],[SVm]]*HLOOKUP(Mammal_Chronic[[#This Row],[Crop]],Input_Scenario,8,FALSE),""),"")</f>
        <v/>
      </c>
      <c r="H220" s="368" t="str">
        <f t="shared" si="7"/>
        <v/>
      </c>
      <c r="I220" s="370" t="str">
        <f>IFERROR(IF(Active1=TRUE,HLOOKUP(Mammal_Chronic[[#This Row],[Crop]],Input_Scenario,11,FALSE)*HLOOKUP(Mammal_Chronic[[#This Row],[Crop]],Input_Scenario,8,FALSE)*Mammal_Chronic[[#This Row],[SVm]],""),"")</f>
        <v/>
      </c>
      <c r="J220" s="370" t="str">
        <f t="shared" ca="1" si="8"/>
        <v/>
      </c>
      <c r="K220" s="370" t="str">
        <f>IFERROR(IF(Active2=TRUE,HLOOKUP(Mammal_Chronic[[#This Row],[Crop]],Input_Scenario,12,FALSE)*HLOOKUP(Mammal_Chronic[[#This Row],[Crop]],Input_Scenario,8,FALSE)*Mammal_Chronic[[#This Row],[SVm]],""),"")</f>
        <v/>
      </c>
      <c r="L220" s="370" t="str">
        <f ca="1">IF($B$3&lt;&gt;"Passive",IFERROR(IF(ISNUMBER(INDEX(Active[M_NOAEL], 2)),
                          INDEX(Active[M_NOAEL], 2)/K220,""),""),"")</f>
        <v/>
      </c>
      <c r="M220" s="370" t="str">
        <f>IFERROR(IF(Active3=TRUE,HLOOKUP(Mammal_Chronic[[#This Row],[Crop]],Input_Scenario,13,FALSE)*HLOOKUP(Mammal_Chronic[[#This Row],[Crop]],Input_Scenario,8,FALSE)*Mammal_Chronic[[#This Row],[SVm]],""),"")</f>
        <v/>
      </c>
      <c r="N220" s="370" t="str">
        <f ca="1">IF($B$3&lt;&gt;"Passive",IFERROR(IF(ISNUMBER(INDEX(Active[M_NOAEL], 3)),
                          INDEX(Active[M_NOAEL], 3)/M220,""),""),"")</f>
        <v/>
      </c>
      <c r="O220" s="370" t="str">
        <f>IFERROR(IF(Active4=TRUE,HLOOKUP(Mammal_Chronic[[#This Row],[Crop]],Input_Scenario,14,FALSE)*HLOOKUP(Mammal_Chronic[[#This Row],[Crop]],Input_Scenario,8,FALSE)*Mammal_Chronic[[#This Row],[SVm]],""),"")</f>
        <v/>
      </c>
      <c r="P220" s="370" t="str">
        <f ca="1">IF($B$3&lt;&gt;"Passive",IFERROR(IF(ISNUMBER(INDEX(Active[M_NOAEL], 4)),
                          INDEX(Active[M_NOAEL], 4)/O220,""),""),"")</f>
        <v/>
      </c>
      <c r="Q220" s="371" t="str">
        <f>IFERROR(IF(Active5=TRUE,HLOOKUP(Mammal_Chronic[[#This Row],[Crop]],Input_Scenario,15,FALSE)*HLOOKUP(Mammal_Chronic[[#This Row],[Crop]],Input_Scenario,8,FALSE)*Mammal_Chronic[[#This Row],[SVm]],""),"")</f>
        <v/>
      </c>
      <c r="R220" s="371" t="str">
        <f ca="1">IF($B$3&lt;&gt;"Passive",IFERROR(IF(ISNUMBER(INDEX(Active[M_NOAEL], 5)),
                          INDEX(Active[M_NOAEL], 5)/Q220,""),""),"")</f>
        <v/>
      </c>
    </row>
    <row r="221" spans="1:18">
      <c r="A221" s="56"/>
      <c r="B221" s="314" t="str">
        <f t="shared" ca="1" si="6"/>
        <v>No input</v>
      </c>
      <c r="C221" s="72" t="s">
        <v>180</v>
      </c>
      <c r="D221" s="73" t="s">
        <v>111</v>
      </c>
      <c r="E221" s="73" t="s">
        <v>272</v>
      </c>
      <c r="F221" s="113">
        <v>1.9</v>
      </c>
      <c r="G221" s="203" t="str">
        <f ca="1">IF(AND(Mammal_Chronic[[#This Row],[Relevance]]="Input provided", Count&gt;=1),
       IF(M_ChronicScheme="C(mix)",
                 HLOOKUP(Mammal_Chronic[[#This Row],[Crop]], Input_Scenario,10,FALSE)*Mammal_Chronic[[#This Row],[SVm]]*HLOOKUP(Mammal_Chronic[[#This Row],[Crop]],Input_Scenario,8,FALSE),""),"")</f>
        <v/>
      </c>
      <c r="H221" s="368" t="str">
        <f t="shared" si="7"/>
        <v/>
      </c>
      <c r="I221" s="370" t="str">
        <f>IFERROR(IF(Active1=TRUE,HLOOKUP(Mammal_Chronic[[#This Row],[Crop]],Input_Scenario,11,FALSE)*HLOOKUP(Mammal_Chronic[[#This Row],[Crop]],Input_Scenario,8,FALSE)*Mammal_Chronic[[#This Row],[SVm]],""),"")</f>
        <v/>
      </c>
      <c r="J221" s="370" t="str">
        <f t="shared" ca="1" si="8"/>
        <v/>
      </c>
      <c r="K221" s="370" t="str">
        <f>IFERROR(IF(Active2=TRUE,HLOOKUP(Mammal_Chronic[[#This Row],[Crop]],Input_Scenario,12,FALSE)*HLOOKUP(Mammal_Chronic[[#This Row],[Crop]],Input_Scenario,8,FALSE)*Mammal_Chronic[[#This Row],[SVm]],""),"")</f>
        <v/>
      </c>
      <c r="L221" s="370" t="str">
        <f ca="1">IF($B$3&lt;&gt;"Passive",IFERROR(IF(ISNUMBER(INDEX(Active[M_NOAEL], 2)),
                          INDEX(Active[M_NOAEL], 2)/K221,""),""),"")</f>
        <v/>
      </c>
      <c r="M221" s="370" t="str">
        <f>IFERROR(IF(Active3=TRUE,HLOOKUP(Mammal_Chronic[[#This Row],[Crop]],Input_Scenario,13,FALSE)*HLOOKUP(Mammal_Chronic[[#This Row],[Crop]],Input_Scenario,8,FALSE)*Mammal_Chronic[[#This Row],[SVm]],""),"")</f>
        <v/>
      </c>
      <c r="N221" s="370" t="str">
        <f ca="1">IF($B$3&lt;&gt;"Passive",IFERROR(IF(ISNUMBER(INDEX(Active[M_NOAEL], 3)),
                          INDEX(Active[M_NOAEL], 3)/M221,""),""),"")</f>
        <v/>
      </c>
      <c r="O221" s="370" t="str">
        <f>IFERROR(IF(Active4=TRUE,HLOOKUP(Mammal_Chronic[[#This Row],[Crop]],Input_Scenario,14,FALSE)*HLOOKUP(Mammal_Chronic[[#This Row],[Crop]],Input_Scenario,8,FALSE)*Mammal_Chronic[[#This Row],[SVm]],""),"")</f>
        <v/>
      </c>
      <c r="P221" s="370" t="str">
        <f ca="1">IF($B$3&lt;&gt;"Passive",IFERROR(IF(ISNUMBER(INDEX(Active[M_NOAEL], 4)),
                          INDEX(Active[M_NOAEL], 4)/O221,""),""),"")</f>
        <v/>
      </c>
      <c r="Q221" s="371" t="str">
        <f>IFERROR(IF(Active5=TRUE,HLOOKUP(Mammal_Chronic[[#This Row],[Crop]],Input_Scenario,15,FALSE)*HLOOKUP(Mammal_Chronic[[#This Row],[Crop]],Input_Scenario,8,FALSE)*Mammal_Chronic[[#This Row],[SVm]],""),"")</f>
        <v/>
      </c>
      <c r="R221" s="371" t="str">
        <f ca="1">IF($B$3&lt;&gt;"Passive",IFERROR(IF(ISNUMBER(INDEX(Active[M_NOAEL], 5)),
                          INDEX(Active[M_NOAEL], 5)/Q221,""),""),"")</f>
        <v/>
      </c>
    </row>
    <row r="222" spans="1:18">
      <c r="A222" s="56"/>
      <c r="B222" s="314" t="str">
        <f t="shared" ca="1" si="6"/>
        <v>No input</v>
      </c>
      <c r="C222" s="72" t="s">
        <v>180</v>
      </c>
      <c r="D222" s="73" t="s">
        <v>109</v>
      </c>
      <c r="E222" s="73" t="s">
        <v>273</v>
      </c>
      <c r="F222" s="113">
        <v>21.7</v>
      </c>
      <c r="G222" s="203" t="str">
        <f ca="1">IF(AND(Mammal_Chronic[[#This Row],[Relevance]]="Input provided", Count&gt;=1),
       IF(M_ChronicScheme="C(mix)",
                 HLOOKUP(Mammal_Chronic[[#This Row],[Crop]], Input_Scenario,10,FALSE)*Mammal_Chronic[[#This Row],[SVm]]*HLOOKUP(Mammal_Chronic[[#This Row],[Crop]],Input_Scenario,8,FALSE),""),"")</f>
        <v/>
      </c>
      <c r="H222" s="368" t="str">
        <f t="shared" si="7"/>
        <v/>
      </c>
      <c r="I222" s="370" t="str">
        <f>IFERROR(IF(Active1=TRUE,HLOOKUP(Mammal_Chronic[[#This Row],[Crop]],Input_Scenario,11,FALSE)*HLOOKUP(Mammal_Chronic[[#This Row],[Crop]],Input_Scenario,8,FALSE)*Mammal_Chronic[[#This Row],[SVm]],""),"")</f>
        <v/>
      </c>
      <c r="J222" s="370" t="str">
        <f t="shared" ca="1" si="8"/>
        <v/>
      </c>
      <c r="K222" s="370" t="str">
        <f>IFERROR(IF(Active2=TRUE,HLOOKUP(Mammal_Chronic[[#This Row],[Crop]],Input_Scenario,12,FALSE)*HLOOKUP(Mammal_Chronic[[#This Row],[Crop]],Input_Scenario,8,FALSE)*Mammal_Chronic[[#This Row],[SVm]],""),"")</f>
        <v/>
      </c>
      <c r="L222" s="370" t="str">
        <f ca="1">IF($B$3&lt;&gt;"Passive",IFERROR(IF(ISNUMBER(INDEX(Active[M_NOAEL], 2)),
                          INDEX(Active[M_NOAEL], 2)/K222,""),""),"")</f>
        <v/>
      </c>
      <c r="M222" s="370" t="str">
        <f>IFERROR(IF(Active3=TRUE,HLOOKUP(Mammal_Chronic[[#This Row],[Crop]],Input_Scenario,13,FALSE)*HLOOKUP(Mammal_Chronic[[#This Row],[Crop]],Input_Scenario,8,FALSE)*Mammal_Chronic[[#This Row],[SVm]],""),"")</f>
        <v/>
      </c>
      <c r="N222" s="370" t="str">
        <f ca="1">IF($B$3&lt;&gt;"Passive",IFERROR(IF(ISNUMBER(INDEX(Active[M_NOAEL], 3)),
                          INDEX(Active[M_NOAEL], 3)/M222,""),""),"")</f>
        <v/>
      </c>
      <c r="O222" s="370" t="str">
        <f>IFERROR(IF(Active4=TRUE,HLOOKUP(Mammal_Chronic[[#This Row],[Crop]],Input_Scenario,14,FALSE)*HLOOKUP(Mammal_Chronic[[#This Row],[Crop]],Input_Scenario,8,FALSE)*Mammal_Chronic[[#This Row],[SVm]],""),"")</f>
        <v/>
      </c>
      <c r="P222" s="370" t="str">
        <f ca="1">IF($B$3&lt;&gt;"Passive",IFERROR(IF(ISNUMBER(INDEX(Active[M_NOAEL], 4)),
                          INDEX(Active[M_NOAEL], 4)/O222,""),""),"")</f>
        <v/>
      </c>
      <c r="Q222" s="371" t="str">
        <f>IFERROR(IF(Active5=TRUE,HLOOKUP(Mammal_Chronic[[#This Row],[Crop]],Input_Scenario,15,FALSE)*HLOOKUP(Mammal_Chronic[[#This Row],[Crop]],Input_Scenario,8,FALSE)*Mammal_Chronic[[#This Row],[SVm]],""),"")</f>
        <v/>
      </c>
      <c r="R222" s="371" t="str">
        <f ca="1">IF($B$3&lt;&gt;"Passive",IFERROR(IF(ISNUMBER(INDEX(Active[M_NOAEL], 5)),
                          INDEX(Active[M_NOAEL], 5)/Q222,""),""),"")</f>
        <v/>
      </c>
    </row>
    <row r="223" spans="1:18">
      <c r="A223" s="56"/>
      <c r="B223" s="314" t="str">
        <f t="shared" ca="1" si="6"/>
        <v>No input</v>
      </c>
      <c r="C223" s="72" t="s">
        <v>180</v>
      </c>
      <c r="D223" s="73" t="s">
        <v>109</v>
      </c>
      <c r="E223" s="73" t="s">
        <v>271</v>
      </c>
      <c r="F223" s="113">
        <v>2.2999999999999998</v>
      </c>
      <c r="G223" s="203" t="str">
        <f ca="1">IF(AND(Mammal_Chronic[[#This Row],[Relevance]]="Input provided", Count&gt;=1),
       IF(M_ChronicScheme="C(mix)",
                 HLOOKUP(Mammal_Chronic[[#This Row],[Crop]], Input_Scenario,10,FALSE)*Mammal_Chronic[[#This Row],[SVm]]*HLOOKUP(Mammal_Chronic[[#This Row],[Crop]],Input_Scenario,8,FALSE),""),"")</f>
        <v/>
      </c>
      <c r="H223" s="368" t="str">
        <f t="shared" si="7"/>
        <v/>
      </c>
      <c r="I223" s="370" t="str">
        <f>IFERROR(IF(Active1=TRUE,HLOOKUP(Mammal_Chronic[[#This Row],[Crop]],Input_Scenario,11,FALSE)*HLOOKUP(Mammal_Chronic[[#This Row],[Crop]],Input_Scenario,8,FALSE)*Mammal_Chronic[[#This Row],[SVm]],""),"")</f>
        <v/>
      </c>
      <c r="J223" s="370" t="str">
        <f t="shared" ca="1" si="8"/>
        <v/>
      </c>
      <c r="K223" s="370" t="str">
        <f>IFERROR(IF(Active2=TRUE,HLOOKUP(Mammal_Chronic[[#This Row],[Crop]],Input_Scenario,12,FALSE)*HLOOKUP(Mammal_Chronic[[#This Row],[Crop]],Input_Scenario,8,FALSE)*Mammal_Chronic[[#This Row],[SVm]],""),"")</f>
        <v/>
      </c>
      <c r="L223" s="370" t="str">
        <f ca="1">IF($B$3&lt;&gt;"Passive",IFERROR(IF(ISNUMBER(INDEX(Active[M_NOAEL], 2)),
                          INDEX(Active[M_NOAEL], 2)/K223,""),""),"")</f>
        <v/>
      </c>
      <c r="M223" s="370" t="str">
        <f>IFERROR(IF(Active3=TRUE,HLOOKUP(Mammal_Chronic[[#This Row],[Crop]],Input_Scenario,13,FALSE)*HLOOKUP(Mammal_Chronic[[#This Row],[Crop]],Input_Scenario,8,FALSE)*Mammal_Chronic[[#This Row],[SVm]],""),"")</f>
        <v/>
      </c>
      <c r="N223" s="370" t="str">
        <f ca="1">IF($B$3&lt;&gt;"Passive",IFERROR(IF(ISNUMBER(INDEX(Active[M_NOAEL], 3)),
                          INDEX(Active[M_NOAEL], 3)/M223,""),""),"")</f>
        <v/>
      </c>
      <c r="O223" s="370" t="str">
        <f>IFERROR(IF(Active4=TRUE,HLOOKUP(Mammal_Chronic[[#This Row],[Crop]],Input_Scenario,14,FALSE)*HLOOKUP(Mammal_Chronic[[#This Row],[Crop]],Input_Scenario,8,FALSE)*Mammal_Chronic[[#This Row],[SVm]],""),"")</f>
        <v/>
      </c>
      <c r="P223" s="370" t="str">
        <f ca="1">IF($B$3&lt;&gt;"Passive",IFERROR(IF(ISNUMBER(INDEX(Active[M_NOAEL], 4)),
                          INDEX(Active[M_NOAEL], 4)/O223,""),""),"")</f>
        <v/>
      </c>
      <c r="Q223" s="371" t="str">
        <f>IFERROR(IF(Active5=TRUE,HLOOKUP(Mammal_Chronic[[#This Row],[Crop]],Input_Scenario,15,FALSE)*HLOOKUP(Mammal_Chronic[[#This Row],[Crop]],Input_Scenario,8,FALSE)*Mammal_Chronic[[#This Row],[SVm]],""),"")</f>
        <v/>
      </c>
      <c r="R223" s="371" t="str">
        <f ca="1">IF($B$3&lt;&gt;"Passive",IFERROR(IF(ISNUMBER(INDEX(Active[M_NOAEL], 5)),
                          INDEX(Active[M_NOAEL], 5)/Q223,""),""),"")</f>
        <v/>
      </c>
    </row>
    <row r="224" spans="1:18">
      <c r="A224" s="56"/>
      <c r="B224" s="314" t="str">
        <f t="shared" ref="B224:B260" ca="1" si="9">IF(AND($B$3="Active",ISNUMBER(I224)),"Input provided","No input")</f>
        <v>No input</v>
      </c>
      <c r="C224" s="72" t="s">
        <v>181</v>
      </c>
      <c r="D224" s="73" t="s">
        <v>108</v>
      </c>
      <c r="E224" s="73" t="s">
        <v>272</v>
      </c>
      <c r="F224" s="113">
        <v>4.2</v>
      </c>
      <c r="G224" s="203" t="str">
        <f ca="1">IF(AND(Mammal_Chronic[[#This Row],[Relevance]]="Input provided", Count&gt;=1),
       IF(M_ChronicScheme="C(mix)",
                 HLOOKUP(Mammal_Chronic[[#This Row],[Crop]], Input_Scenario,10,FALSE)*Mammal_Chronic[[#This Row],[SVm]]*HLOOKUP(Mammal_Chronic[[#This Row],[Crop]],Input_Scenario,8,FALSE),""),"")</f>
        <v/>
      </c>
      <c r="H224" s="368" t="str">
        <f t="shared" ref="H224:H287" si="10">IF(Count&gt;=1,
       IF(AND(M_ChronicScheme ="C(mix)", ISNUMBER(G224)), 5/(M_NOAEL_form/G224),
       IF(AND(M_ChronicScheme = "HIsum", Count &gt; 1),
            IF(ISNUMBER(J224), IF(ISNUMBER(J224), 5/J224, 0) + IF(ISNUMBER(L224), 5/L224, 0) + IF(ISNUMBER(N224), 5/N224, 0) + IF(ISNUMBER(P224), 5/P224, 0) + IF(ISNUMBER(R224), 5/R224, 0),""), "")),"")</f>
        <v/>
      </c>
      <c r="I224" s="370" t="str">
        <f>IFERROR(IF(Active1=TRUE,HLOOKUP(Mammal_Chronic[[#This Row],[Crop]],Input_Scenario,11,FALSE)*HLOOKUP(Mammal_Chronic[[#This Row],[Crop]],Input_Scenario,8,FALSE)*Mammal_Chronic[[#This Row],[SVm]],""),"")</f>
        <v/>
      </c>
      <c r="J224" s="370" t="str">
        <f t="shared" ca="1" si="8"/>
        <v/>
      </c>
      <c r="K224" s="370" t="str">
        <f>IFERROR(IF(Active2=TRUE,HLOOKUP(Mammal_Chronic[[#This Row],[Crop]],Input_Scenario,12,FALSE)*HLOOKUP(Mammal_Chronic[[#This Row],[Crop]],Input_Scenario,8,FALSE)*Mammal_Chronic[[#This Row],[SVm]],""),"")</f>
        <v/>
      </c>
      <c r="L224" s="370" t="str">
        <f ca="1">IF($B$3&lt;&gt;"Passive",IFERROR(IF(ISNUMBER(INDEX(Active[M_NOAEL], 2)),
                          INDEX(Active[M_NOAEL], 2)/K224,""),""),"")</f>
        <v/>
      </c>
      <c r="M224" s="370" t="str">
        <f>IFERROR(IF(Active3=TRUE,HLOOKUP(Mammal_Chronic[[#This Row],[Crop]],Input_Scenario,13,FALSE)*HLOOKUP(Mammal_Chronic[[#This Row],[Crop]],Input_Scenario,8,FALSE)*Mammal_Chronic[[#This Row],[SVm]],""),"")</f>
        <v/>
      </c>
      <c r="N224" s="370" t="str">
        <f ca="1">IF($B$3&lt;&gt;"Passive",IFERROR(IF(ISNUMBER(INDEX(Active[M_NOAEL], 3)),
                          INDEX(Active[M_NOAEL], 3)/M224,""),""),"")</f>
        <v/>
      </c>
      <c r="O224" s="370" t="str">
        <f>IFERROR(IF(Active4=TRUE,HLOOKUP(Mammal_Chronic[[#This Row],[Crop]],Input_Scenario,14,FALSE)*HLOOKUP(Mammal_Chronic[[#This Row],[Crop]],Input_Scenario,8,FALSE)*Mammal_Chronic[[#This Row],[SVm]],""),"")</f>
        <v/>
      </c>
      <c r="P224" s="370" t="str">
        <f ca="1">IF($B$3&lt;&gt;"Passive",IFERROR(IF(ISNUMBER(INDEX(Active[M_NOAEL], 4)),
                          INDEX(Active[M_NOAEL], 4)/O224,""),""),"")</f>
        <v/>
      </c>
      <c r="Q224" s="371" t="str">
        <f>IFERROR(IF(Active5=TRUE,HLOOKUP(Mammal_Chronic[[#This Row],[Crop]],Input_Scenario,15,FALSE)*HLOOKUP(Mammal_Chronic[[#This Row],[Crop]],Input_Scenario,8,FALSE)*Mammal_Chronic[[#This Row],[SVm]],""),"")</f>
        <v/>
      </c>
      <c r="R224" s="371" t="str">
        <f ca="1">IF($B$3&lt;&gt;"Passive",IFERROR(IF(ISNUMBER(INDEX(Active[M_NOAEL], 5)),
                          INDEX(Active[M_NOAEL], 5)/Q224,""),""),"")</f>
        <v/>
      </c>
    </row>
    <row r="225" spans="1:18">
      <c r="A225" s="56"/>
      <c r="B225" s="314" t="str">
        <f t="shared" ca="1" si="9"/>
        <v>No input</v>
      </c>
      <c r="C225" s="72" t="s">
        <v>181</v>
      </c>
      <c r="D225" s="73" t="s">
        <v>110</v>
      </c>
      <c r="E225" s="73" t="s">
        <v>275</v>
      </c>
      <c r="F225" s="113">
        <v>14.3</v>
      </c>
      <c r="G225" s="203" t="str">
        <f ca="1">IF(AND(Mammal_Chronic[[#This Row],[Relevance]]="Input provided", Count&gt;=1),
       IF(M_ChronicScheme="C(mix)",
                 HLOOKUP(Mammal_Chronic[[#This Row],[Crop]], Input_Scenario,10,FALSE)*Mammal_Chronic[[#This Row],[SVm]]*HLOOKUP(Mammal_Chronic[[#This Row],[Crop]],Input_Scenario,8,FALSE),""),"")</f>
        <v/>
      </c>
      <c r="H225" s="368" t="str">
        <f t="shared" si="10"/>
        <v/>
      </c>
      <c r="I225" s="370" t="str">
        <f>IFERROR(IF(Active1=TRUE,HLOOKUP(Mammal_Chronic[[#This Row],[Crop]],Input_Scenario,11,FALSE)*HLOOKUP(Mammal_Chronic[[#This Row],[Crop]],Input_Scenario,8,FALSE)*Mammal_Chronic[[#This Row],[SVm]],""),"")</f>
        <v/>
      </c>
      <c r="J225" s="370" t="str">
        <f t="shared" ref="J225:J260" ca="1" si="11">IF($B$3&lt;&gt;"Passive",IFERROR(IF(ISNUMBER($D$14),$D$14/I225,""),""),"")</f>
        <v/>
      </c>
      <c r="K225" s="370" t="str">
        <f>IFERROR(IF(Active2=TRUE,HLOOKUP(Mammal_Chronic[[#This Row],[Crop]],Input_Scenario,12,FALSE)*HLOOKUP(Mammal_Chronic[[#This Row],[Crop]],Input_Scenario,8,FALSE)*Mammal_Chronic[[#This Row],[SVm]],""),"")</f>
        <v/>
      </c>
      <c r="L225" s="370" t="str">
        <f ca="1">IF($B$3&lt;&gt;"Passive",IFERROR(IF(ISNUMBER(INDEX(Active[M_NOAEL], 2)),
                          INDEX(Active[M_NOAEL], 2)/K225,""),""),"")</f>
        <v/>
      </c>
      <c r="M225" s="370" t="str">
        <f>IFERROR(IF(Active3=TRUE,HLOOKUP(Mammal_Chronic[[#This Row],[Crop]],Input_Scenario,13,FALSE)*HLOOKUP(Mammal_Chronic[[#This Row],[Crop]],Input_Scenario,8,FALSE)*Mammal_Chronic[[#This Row],[SVm]],""),"")</f>
        <v/>
      </c>
      <c r="N225" s="370" t="str">
        <f ca="1">IF($B$3&lt;&gt;"Passive",IFERROR(IF(ISNUMBER(INDEX(Active[M_NOAEL], 3)),
                          INDEX(Active[M_NOAEL], 3)/M225,""),""),"")</f>
        <v/>
      </c>
      <c r="O225" s="370" t="str">
        <f>IFERROR(IF(Active4=TRUE,HLOOKUP(Mammal_Chronic[[#This Row],[Crop]],Input_Scenario,14,FALSE)*HLOOKUP(Mammal_Chronic[[#This Row],[Crop]],Input_Scenario,8,FALSE)*Mammal_Chronic[[#This Row],[SVm]],""),"")</f>
        <v/>
      </c>
      <c r="P225" s="370" t="str">
        <f ca="1">IF($B$3&lt;&gt;"Passive",IFERROR(IF(ISNUMBER(INDEX(Active[M_NOAEL], 4)),
                          INDEX(Active[M_NOAEL], 4)/O225,""),""),"")</f>
        <v/>
      </c>
      <c r="Q225" s="371" t="str">
        <f>IFERROR(IF(Active5=TRUE,HLOOKUP(Mammal_Chronic[[#This Row],[Crop]],Input_Scenario,15,FALSE)*HLOOKUP(Mammal_Chronic[[#This Row],[Crop]],Input_Scenario,8,FALSE)*Mammal_Chronic[[#This Row],[SVm]],""),"")</f>
        <v/>
      </c>
      <c r="R225" s="371" t="str">
        <f ca="1">IF($B$3&lt;&gt;"Passive",IFERROR(IF(ISNUMBER(INDEX(Active[M_NOAEL], 5)),
                          INDEX(Active[M_NOAEL], 5)/Q225,""),""),"")</f>
        <v/>
      </c>
    </row>
    <row r="226" spans="1:18">
      <c r="A226" s="56"/>
      <c r="B226" s="314" t="str">
        <f t="shared" ca="1" si="9"/>
        <v>No input</v>
      </c>
      <c r="C226" s="72" t="s">
        <v>181</v>
      </c>
      <c r="D226" s="73" t="s">
        <v>110</v>
      </c>
      <c r="E226" s="73" t="s">
        <v>271</v>
      </c>
      <c r="F226" s="113">
        <v>7.8</v>
      </c>
      <c r="G226" s="203" t="str">
        <f ca="1">IF(AND(Mammal_Chronic[[#This Row],[Relevance]]="Input provided", Count&gt;=1),
       IF(M_ChronicScheme="C(mix)",
                 HLOOKUP(Mammal_Chronic[[#This Row],[Crop]], Input_Scenario,10,FALSE)*Mammal_Chronic[[#This Row],[SVm]]*HLOOKUP(Mammal_Chronic[[#This Row],[Crop]],Input_Scenario,8,FALSE),""),"")</f>
        <v/>
      </c>
      <c r="H226" s="368" t="str">
        <f t="shared" si="10"/>
        <v/>
      </c>
      <c r="I226" s="370" t="str">
        <f>IFERROR(IF(Active1=TRUE,HLOOKUP(Mammal_Chronic[[#This Row],[Crop]],Input_Scenario,11,FALSE)*HLOOKUP(Mammal_Chronic[[#This Row],[Crop]],Input_Scenario,8,FALSE)*Mammal_Chronic[[#This Row],[SVm]],""),"")</f>
        <v/>
      </c>
      <c r="J226" s="370" t="str">
        <f t="shared" ca="1" si="11"/>
        <v/>
      </c>
      <c r="K226" s="370" t="str">
        <f>IFERROR(IF(Active2=TRUE,HLOOKUP(Mammal_Chronic[[#This Row],[Crop]],Input_Scenario,12,FALSE)*HLOOKUP(Mammal_Chronic[[#This Row],[Crop]],Input_Scenario,8,FALSE)*Mammal_Chronic[[#This Row],[SVm]],""),"")</f>
        <v/>
      </c>
      <c r="L226" s="370" t="str">
        <f ca="1">IF($B$3&lt;&gt;"Passive",IFERROR(IF(ISNUMBER(INDEX(Active[M_NOAEL], 2)),
                          INDEX(Active[M_NOAEL], 2)/K226,""),""),"")</f>
        <v/>
      </c>
      <c r="M226" s="370" t="str">
        <f>IFERROR(IF(Active3=TRUE,HLOOKUP(Mammal_Chronic[[#This Row],[Crop]],Input_Scenario,13,FALSE)*HLOOKUP(Mammal_Chronic[[#This Row],[Crop]],Input_Scenario,8,FALSE)*Mammal_Chronic[[#This Row],[SVm]],""),"")</f>
        <v/>
      </c>
      <c r="N226" s="370" t="str">
        <f ca="1">IF($B$3&lt;&gt;"Passive",IFERROR(IF(ISNUMBER(INDEX(Active[M_NOAEL], 3)),
                          INDEX(Active[M_NOAEL], 3)/M226,""),""),"")</f>
        <v/>
      </c>
      <c r="O226" s="370" t="str">
        <f>IFERROR(IF(Active4=TRUE,HLOOKUP(Mammal_Chronic[[#This Row],[Crop]],Input_Scenario,14,FALSE)*HLOOKUP(Mammal_Chronic[[#This Row],[Crop]],Input_Scenario,8,FALSE)*Mammal_Chronic[[#This Row],[SVm]],""),"")</f>
        <v/>
      </c>
      <c r="P226" s="370" t="str">
        <f ca="1">IF($B$3&lt;&gt;"Passive",IFERROR(IF(ISNUMBER(INDEX(Active[M_NOAEL], 4)),
                          INDEX(Active[M_NOAEL], 4)/O226,""),""),"")</f>
        <v/>
      </c>
      <c r="Q226" s="371" t="str">
        <f>IFERROR(IF(Active5=TRUE,HLOOKUP(Mammal_Chronic[[#This Row],[Crop]],Input_Scenario,15,FALSE)*HLOOKUP(Mammal_Chronic[[#This Row],[Crop]],Input_Scenario,8,FALSE)*Mammal_Chronic[[#This Row],[SVm]],""),"")</f>
        <v/>
      </c>
      <c r="R226" s="371" t="str">
        <f ca="1">IF($B$3&lt;&gt;"Passive",IFERROR(IF(ISNUMBER(INDEX(Active[M_NOAEL], 5)),
                          INDEX(Active[M_NOAEL], 5)/Q226,""),""),"")</f>
        <v/>
      </c>
    </row>
    <row r="227" spans="1:18">
      <c r="A227" s="56"/>
      <c r="B227" s="314" t="str">
        <f t="shared" ca="1" si="9"/>
        <v>No input</v>
      </c>
      <c r="C227" s="72" t="s">
        <v>181</v>
      </c>
      <c r="D227" s="73" t="s">
        <v>111</v>
      </c>
      <c r="E227" s="73" t="s">
        <v>272</v>
      </c>
      <c r="F227" s="113">
        <v>1.9</v>
      </c>
      <c r="G227" s="203" t="str">
        <f ca="1">IF(AND(Mammal_Chronic[[#This Row],[Relevance]]="Input provided", Count&gt;=1),
       IF(M_ChronicScheme="C(mix)",
                 HLOOKUP(Mammal_Chronic[[#This Row],[Crop]], Input_Scenario,10,FALSE)*Mammal_Chronic[[#This Row],[SVm]]*HLOOKUP(Mammal_Chronic[[#This Row],[Crop]],Input_Scenario,8,FALSE),""),"")</f>
        <v/>
      </c>
      <c r="H227" s="368" t="str">
        <f t="shared" si="10"/>
        <v/>
      </c>
      <c r="I227" s="370" t="str">
        <f>IFERROR(IF(Active1=TRUE,HLOOKUP(Mammal_Chronic[[#This Row],[Crop]],Input_Scenario,11,FALSE)*HLOOKUP(Mammal_Chronic[[#This Row],[Crop]],Input_Scenario,8,FALSE)*Mammal_Chronic[[#This Row],[SVm]],""),"")</f>
        <v/>
      </c>
      <c r="J227" s="370" t="str">
        <f t="shared" ca="1" si="11"/>
        <v/>
      </c>
      <c r="K227" s="370" t="str">
        <f>IFERROR(IF(Active2=TRUE,HLOOKUP(Mammal_Chronic[[#This Row],[Crop]],Input_Scenario,12,FALSE)*HLOOKUP(Mammal_Chronic[[#This Row],[Crop]],Input_Scenario,8,FALSE)*Mammal_Chronic[[#This Row],[SVm]],""),"")</f>
        <v/>
      </c>
      <c r="L227" s="370" t="str">
        <f ca="1">IF($B$3&lt;&gt;"Passive",IFERROR(IF(ISNUMBER(INDEX(Active[M_NOAEL], 2)),
                          INDEX(Active[M_NOAEL], 2)/K227,""),""),"")</f>
        <v/>
      </c>
      <c r="M227" s="370" t="str">
        <f>IFERROR(IF(Active3=TRUE,HLOOKUP(Mammal_Chronic[[#This Row],[Crop]],Input_Scenario,13,FALSE)*HLOOKUP(Mammal_Chronic[[#This Row],[Crop]],Input_Scenario,8,FALSE)*Mammal_Chronic[[#This Row],[SVm]],""),"")</f>
        <v/>
      </c>
      <c r="N227" s="370" t="str">
        <f ca="1">IF($B$3&lt;&gt;"Passive",IFERROR(IF(ISNUMBER(INDEX(Active[M_NOAEL], 3)),
                          INDEX(Active[M_NOAEL], 3)/M227,""),""),"")</f>
        <v/>
      </c>
      <c r="O227" s="370" t="str">
        <f>IFERROR(IF(Active4=TRUE,HLOOKUP(Mammal_Chronic[[#This Row],[Crop]],Input_Scenario,14,FALSE)*HLOOKUP(Mammal_Chronic[[#This Row],[Crop]],Input_Scenario,8,FALSE)*Mammal_Chronic[[#This Row],[SVm]],""),"")</f>
        <v/>
      </c>
      <c r="P227" s="370" t="str">
        <f ca="1">IF($B$3&lt;&gt;"Passive",IFERROR(IF(ISNUMBER(INDEX(Active[M_NOAEL], 4)),
                          INDEX(Active[M_NOAEL], 4)/O227,""),""),"")</f>
        <v/>
      </c>
      <c r="Q227" s="371" t="str">
        <f>IFERROR(IF(Active5=TRUE,HLOOKUP(Mammal_Chronic[[#This Row],[Crop]],Input_Scenario,15,FALSE)*HLOOKUP(Mammal_Chronic[[#This Row],[Crop]],Input_Scenario,8,FALSE)*Mammal_Chronic[[#This Row],[SVm]],""),"")</f>
        <v/>
      </c>
      <c r="R227" s="371" t="str">
        <f ca="1">IF($B$3&lt;&gt;"Passive",IFERROR(IF(ISNUMBER(INDEX(Active[M_NOAEL], 5)),
                          INDEX(Active[M_NOAEL], 5)/Q227,""),""),"")</f>
        <v/>
      </c>
    </row>
    <row r="228" spans="1:18">
      <c r="A228" s="56"/>
      <c r="B228" s="314" t="str">
        <f t="shared" ca="1" si="9"/>
        <v>No input</v>
      </c>
      <c r="C228" s="72" t="s">
        <v>181</v>
      </c>
      <c r="D228" s="73" t="s">
        <v>109</v>
      </c>
      <c r="E228" s="73" t="s">
        <v>273</v>
      </c>
      <c r="F228" s="113">
        <v>28.9</v>
      </c>
      <c r="G228" s="203" t="str">
        <f ca="1">IF(AND(Mammal_Chronic[[#This Row],[Relevance]]="Input provided", Count&gt;=1),
       IF(M_ChronicScheme="C(mix)",
                 HLOOKUP(Mammal_Chronic[[#This Row],[Crop]], Input_Scenario,10,FALSE)*Mammal_Chronic[[#This Row],[SVm]]*HLOOKUP(Mammal_Chronic[[#This Row],[Crop]],Input_Scenario,8,FALSE),""),"")</f>
        <v/>
      </c>
      <c r="H228" s="368" t="str">
        <f t="shared" si="10"/>
        <v/>
      </c>
      <c r="I228" s="370" t="str">
        <f>IFERROR(IF(Active1=TRUE,HLOOKUP(Mammal_Chronic[[#This Row],[Crop]],Input_Scenario,11,FALSE)*HLOOKUP(Mammal_Chronic[[#This Row],[Crop]],Input_Scenario,8,FALSE)*Mammal_Chronic[[#This Row],[SVm]],""),"")</f>
        <v/>
      </c>
      <c r="J228" s="370" t="str">
        <f t="shared" ca="1" si="11"/>
        <v/>
      </c>
      <c r="K228" s="370" t="str">
        <f>IFERROR(IF(Active2=TRUE,HLOOKUP(Mammal_Chronic[[#This Row],[Crop]],Input_Scenario,12,FALSE)*HLOOKUP(Mammal_Chronic[[#This Row],[Crop]],Input_Scenario,8,FALSE)*Mammal_Chronic[[#This Row],[SVm]],""),"")</f>
        <v/>
      </c>
      <c r="L228" s="370" t="str">
        <f ca="1">IF($B$3&lt;&gt;"Passive",IFERROR(IF(ISNUMBER(INDEX(Active[M_NOAEL], 2)),
                          INDEX(Active[M_NOAEL], 2)/K228,""),""),"")</f>
        <v/>
      </c>
      <c r="M228" s="370" t="str">
        <f>IFERROR(IF(Active3=TRUE,HLOOKUP(Mammal_Chronic[[#This Row],[Crop]],Input_Scenario,13,FALSE)*HLOOKUP(Mammal_Chronic[[#This Row],[Crop]],Input_Scenario,8,FALSE)*Mammal_Chronic[[#This Row],[SVm]],""),"")</f>
        <v/>
      </c>
      <c r="N228" s="370" t="str">
        <f ca="1">IF($B$3&lt;&gt;"Passive",IFERROR(IF(ISNUMBER(INDEX(Active[M_NOAEL], 3)),
                          INDEX(Active[M_NOAEL], 3)/M228,""),""),"")</f>
        <v/>
      </c>
      <c r="O228" s="370" t="str">
        <f>IFERROR(IF(Active4=TRUE,HLOOKUP(Mammal_Chronic[[#This Row],[Crop]],Input_Scenario,14,FALSE)*HLOOKUP(Mammal_Chronic[[#This Row],[Crop]],Input_Scenario,8,FALSE)*Mammal_Chronic[[#This Row],[SVm]],""),"")</f>
        <v/>
      </c>
      <c r="P228" s="370" t="str">
        <f ca="1">IF($B$3&lt;&gt;"Passive",IFERROR(IF(ISNUMBER(INDEX(Active[M_NOAEL], 4)),
                          INDEX(Active[M_NOAEL], 4)/O228,""),""),"")</f>
        <v/>
      </c>
      <c r="Q228" s="371" t="str">
        <f>IFERROR(IF(Active5=TRUE,HLOOKUP(Mammal_Chronic[[#This Row],[Crop]],Input_Scenario,15,FALSE)*HLOOKUP(Mammal_Chronic[[#This Row],[Crop]],Input_Scenario,8,FALSE)*Mammal_Chronic[[#This Row],[SVm]],""),"")</f>
        <v/>
      </c>
      <c r="R228" s="371" t="str">
        <f ca="1">IF($B$3&lt;&gt;"Passive",IFERROR(IF(ISNUMBER(INDEX(Active[M_NOAEL], 5)),
                          INDEX(Active[M_NOAEL], 5)/Q228,""),""),"")</f>
        <v/>
      </c>
    </row>
    <row r="229" spans="1:18">
      <c r="A229" s="56"/>
      <c r="B229" s="314" t="str">
        <f t="shared" ca="1" si="9"/>
        <v>No input</v>
      </c>
      <c r="C229" s="72" t="s">
        <v>181</v>
      </c>
      <c r="D229" s="73" t="s">
        <v>109</v>
      </c>
      <c r="E229" s="73" t="s">
        <v>275</v>
      </c>
      <c r="F229" s="113">
        <v>5.7</v>
      </c>
      <c r="G229" s="203" t="str">
        <f ca="1">IF(AND(Mammal_Chronic[[#This Row],[Relevance]]="Input provided", Count&gt;=1),
       IF(M_ChronicScheme="C(mix)",
                 HLOOKUP(Mammal_Chronic[[#This Row],[Crop]], Input_Scenario,10,FALSE)*Mammal_Chronic[[#This Row],[SVm]]*HLOOKUP(Mammal_Chronic[[#This Row],[Crop]],Input_Scenario,8,FALSE),""),"")</f>
        <v/>
      </c>
      <c r="H229" s="368" t="str">
        <f t="shared" si="10"/>
        <v/>
      </c>
      <c r="I229" s="370" t="str">
        <f>IFERROR(IF(Active1=TRUE,HLOOKUP(Mammal_Chronic[[#This Row],[Crop]],Input_Scenario,11,FALSE)*HLOOKUP(Mammal_Chronic[[#This Row],[Crop]],Input_Scenario,8,FALSE)*Mammal_Chronic[[#This Row],[SVm]],""),"")</f>
        <v/>
      </c>
      <c r="J229" s="370" t="str">
        <f t="shared" ca="1" si="11"/>
        <v/>
      </c>
      <c r="K229" s="370" t="str">
        <f>IFERROR(IF(Active2=TRUE,HLOOKUP(Mammal_Chronic[[#This Row],[Crop]],Input_Scenario,12,FALSE)*HLOOKUP(Mammal_Chronic[[#This Row],[Crop]],Input_Scenario,8,FALSE)*Mammal_Chronic[[#This Row],[SVm]],""),"")</f>
        <v/>
      </c>
      <c r="L229" s="370" t="str">
        <f ca="1">IF($B$3&lt;&gt;"Passive",IFERROR(IF(ISNUMBER(INDEX(Active[M_NOAEL], 2)),
                          INDEX(Active[M_NOAEL], 2)/K229,""),""),"")</f>
        <v/>
      </c>
      <c r="M229" s="370" t="str">
        <f>IFERROR(IF(Active3=TRUE,HLOOKUP(Mammal_Chronic[[#This Row],[Crop]],Input_Scenario,13,FALSE)*HLOOKUP(Mammal_Chronic[[#This Row],[Crop]],Input_Scenario,8,FALSE)*Mammal_Chronic[[#This Row],[SVm]],""),"")</f>
        <v/>
      </c>
      <c r="N229" s="370" t="str">
        <f ca="1">IF($B$3&lt;&gt;"Passive",IFERROR(IF(ISNUMBER(INDEX(Active[M_NOAEL], 3)),
                          INDEX(Active[M_NOAEL], 3)/M229,""),""),"")</f>
        <v/>
      </c>
      <c r="O229" s="370" t="str">
        <f>IFERROR(IF(Active4=TRUE,HLOOKUP(Mammal_Chronic[[#This Row],[Crop]],Input_Scenario,14,FALSE)*HLOOKUP(Mammal_Chronic[[#This Row],[Crop]],Input_Scenario,8,FALSE)*Mammal_Chronic[[#This Row],[SVm]],""),"")</f>
        <v/>
      </c>
      <c r="P229" s="370" t="str">
        <f ca="1">IF($B$3&lt;&gt;"Passive",IFERROR(IF(ISNUMBER(INDEX(Active[M_NOAEL], 4)),
                          INDEX(Active[M_NOAEL], 4)/O229,""),""),"")</f>
        <v/>
      </c>
      <c r="Q229" s="371" t="str">
        <f>IFERROR(IF(Active5=TRUE,HLOOKUP(Mammal_Chronic[[#This Row],[Crop]],Input_Scenario,15,FALSE)*HLOOKUP(Mammal_Chronic[[#This Row],[Crop]],Input_Scenario,8,FALSE)*Mammal_Chronic[[#This Row],[SVm]],""),"")</f>
        <v/>
      </c>
      <c r="R229" s="371" t="str">
        <f ca="1">IF($B$3&lt;&gt;"Passive",IFERROR(IF(ISNUMBER(INDEX(Active[M_NOAEL], 5)),
                          INDEX(Active[M_NOAEL], 5)/Q229,""),""),"")</f>
        <v/>
      </c>
    </row>
    <row r="230" spans="1:18">
      <c r="A230" s="56"/>
      <c r="B230" s="314" t="str">
        <f t="shared" ca="1" si="9"/>
        <v>No input</v>
      </c>
      <c r="C230" s="72" t="s">
        <v>181</v>
      </c>
      <c r="D230" s="73" t="s">
        <v>109</v>
      </c>
      <c r="E230" s="73" t="s">
        <v>271</v>
      </c>
      <c r="F230" s="113">
        <v>3.1</v>
      </c>
      <c r="G230" s="203" t="str">
        <f ca="1">IF(AND(Mammal_Chronic[[#This Row],[Relevance]]="Input provided", Count&gt;=1),
       IF(M_ChronicScheme="C(mix)",
                 HLOOKUP(Mammal_Chronic[[#This Row],[Crop]], Input_Scenario,10,FALSE)*Mammal_Chronic[[#This Row],[SVm]]*HLOOKUP(Mammal_Chronic[[#This Row],[Crop]],Input_Scenario,8,FALSE),""),"")</f>
        <v/>
      </c>
      <c r="H230" s="368" t="str">
        <f t="shared" si="10"/>
        <v/>
      </c>
      <c r="I230" s="370" t="str">
        <f>IFERROR(IF(Active1=TRUE,HLOOKUP(Mammal_Chronic[[#This Row],[Crop]],Input_Scenario,11,FALSE)*HLOOKUP(Mammal_Chronic[[#This Row],[Crop]],Input_Scenario,8,FALSE)*Mammal_Chronic[[#This Row],[SVm]],""),"")</f>
        <v/>
      </c>
      <c r="J230" s="370" t="str">
        <f t="shared" ca="1" si="11"/>
        <v/>
      </c>
      <c r="K230" s="370" t="str">
        <f>IFERROR(IF(Active2=TRUE,HLOOKUP(Mammal_Chronic[[#This Row],[Crop]],Input_Scenario,12,FALSE)*HLOOKUP(Mammal_Chronic[[#This Row],[Crop]],Input_Scenario,8,FALSE)*Mammal_Chronic[[#This Row],[SVm]],""),"")</f>
        <v/>
      </c>
      <c r="L230" s="370" t="str">
        <f ca="1">IF($B$3&lt;&gt;"Passive",IFERROR(IF(ISNUMBER(INDEX(Active[M_NOAEL], 2)),
                          INDEX(Active[M_NOAEL], 2)/K230,""),""),"")</f>
        <v/>
      </c>
      <c r="M230" s="370" t="str">
        <f>IFERROR(IF(Active3=TRUE,HLOOKUP(Mammal_Chronic[[#This Row],[Crop]],Input_Scenario,13,FALSE)*HLOOKUP(Mammal_Chronic[[#This Row],[Crop]],Input_Scenario,8,FALSE)*Mammal_Chronic[[#This Row],[SVm]],""),"")</f>
        <v/>
      </c>
      <c r="N230" s="370" t="str">
        <f ca="1">IF($B$3&lt;&gt;"Passive",IFERROR(IF(ISNUMBER(INDEX(Active[M_NOAEL], 3)),
                          INDEX(Active[M_NOAEL], 3)/M230,""),""),"")</f>
        <v/>
      </c>
      <c r="O230" s="370" t="str">
        <f>IFERROR(IF(Active4=TRUE,HLOOKUP(Mammal_Chronic[[#This Row],[Crop]],Input_Scenario,14,FALSE)*HLOOKUP(Mammal_Chronic[[#This Row],[Crop]],Input_Scenario,8,FALSE)*Mammal_Chronic[[#This Row],[SVm]],""),"")</f>
        <v/>
      </c>
      <c r="P230" s="370" t="str">
        <f ca="1">IF($B$3&lt;&gt;"Passive",IFERROR(IF(ISNUMBER(INDEX(Active[M_NOAEL], 4)),
                          INDEX(Active[M_NOAEL], 4)/O230,""),""),"")</f>
        <v/>
      </c>
      <c r="Q230" s="371" t="str">
        <f>IFERROR(IF(Active5=TRUE,HLOOKUP(Mammal_Chronic[[#This Row],[Crop]],Input_Scenario,15,FALSE)*HLOOKUP(Mammal_Chronic[[#This Row],[Crop]],Input_Scenario,8,FALSE)*Mammal_Chronic[[#This Row],[SVm]],""),"")</f>
        <v/>
      </c>
      <c r="R230" s="371" t="str">
        <f ca="1">IF($B$3&lt;&gt;"Passive",IFERROR(IF(ISNUMBER(INDEX(Active[M_NOAEL], 5)),
                          INDEX(Active[M_NOAEL], 5)/Q230,""),""),"")</f>
        <v/>
      </c>
    </row>
    <row r="231" spans="1:18">
      <c r="A231" s="56"/>
      <c r="B231" s="314" t="str">
        <f t="shared" ca="1" si="9"/>
        <v>No input</v>
      </c>
      <c r="C231" s="72" t="s">
        <v>229</v>
      </c>
      <c r="D231" s="73" t="s">
        <v>108</v>
      </c>
      <c r="E231" s="73" t="s">
        <v>272</v>
      </c>
      <c r="F231" s="113">
        <v>4.2</v>
      </c>
      <c r="G231" s="203" t="str">
        <f ca="1">IF(AND(Mammal_Chronic[[#This Row],[Relevance]]="Input provided", Count&gt;=1),
       IF(M_ChronicScheme="C(mix)",
                 HLOOKUP(Mammal_Chronic[[#This Row],[Crop]], Input_Scenario,10,FALSE)*Mammal_Chronic[[#This Row],[SVm]]*HLOOKUP(Mammal_Chronic[[#This Row],[Crop]],Input_Scenario,8,FALSE),""),"")</f>
        <v/>
      </c>
      <c r="H231" s="368" t="str">
        <f t="shared" si="10"/>
        <v/>
      </c>
      <c r="I231" s="370" t="str">
        <f>IFERROR(IF(Active1=TRUE,HLOOKUP(Mammal_Chronic[[#This Row],[Crop]],Input_Scenario,11,FALSE)*HLOOKUP(Mammal_Chronic[[#This Row],[Crop]],Input_Scenario,8,FALSE)*Mammal_Chronic[[#This Row],[SVm]],""),"")</f>
        <v/>
      </c>
      <c r="J231" s="370" t="str">
        <f t="shared" ca="1" si="11"/>
        <v/>
      </c>
      <c r="K231" s="370" t="str">
        <f>IFERROR(IF(Active2=TRUE,HLOOKUP(Mammal_Chronic[[#This Row],[Crop]],Input_Scenario,12,FALSE)*HLOOKUP(Mammal_Chronic[[#This Row],[Crop]],Input_Scenario,8,FALSE)*Mammal_Chronic[[#This Row],[SVm]],""),"")</f>
        <v/>
      </c>
      <c r="L231" s="370" t="str">
        <f ca="1">IF($B$3&lt;&gt;"Passive",IFERROR(IF(ISNUMBER(INDEX(Active[M_NOAEL], 2)),
                          INDEX(Active[M_NOAEL], 2)/K231,""),""),"")</f>
        <v/>
      </c>
      <c r="M231" s="370" t="str">
        <f>IFERROR(IF(Active3=TRUE,HLOOKUP(Mammal_Chronic[[#This Row],[Crop]],Input_Scenario,13,FALSE)*HLOOKUP(Mammal_Chronic[[#This Row],[Crop]],Input_Scenario,8,FALSE)*Mammal_Chronic[[#This Row],[SVm]],""),"")</f>
        <v/>
      </c>
      <c r="N231" s="370" t="str">
        <f ca="1">IF($B$3&lt;&gt;"Passive",IFERROR(IF(ISNUMBER(INDEX(Active[M_NOAEL], 3)),
                          INDEX(Active[M_NOAEL], 3)/M231,""),""),"")</f>
        <v/>
      </c>
      <c r="O231" s="370" t="str">
        <f>IFERROR(IF(Active4=TRUE,HLOOKUP(Mammal_Chronic[[#This Row],[Crop]],Input_Scenario,14,FALSE)*HLOOKUP(Mammal_Chronic[[#This Row],[Crop]],Input_Scenario,8,FALSE)*Mammal_Chronic[[#This Row],[SVm]],""),"")</f>
        <v/>
      </c>
      <c r="P231" s="370" t="str">
        <f ca="1">IF($B$3&lt;&gt;"Passive",IFERROR(IF(ISNUMBER(INDEX(Active[M_NOAEL], 4)),
                          INDEX(Active[M_NOAEL], 4)/O231,""),""),"")</f>
        <v/>
      </c>
      <c r="Q231" s="371" t="str">
        <f>IFERROR(IF(Active5=TRUE,HLOOKUP(Mammal_Chronic[[#This Row],[Crop]],Input_Scenario,15,FALSE)*HLOOKUP(Mammal_Chronic[[#This Row],[Crop]],Input_Scenario,8,FALSE)*Mammal_Chronic[[#This Row],[SVm]],""),"")</f>
        <v/>
      </c>
      <c r="R231" s="371" t="str">
        <f ca="1">IF($B$3&lt;&gt;"Passive",IFERROR(IF(ISNUMBER(INDEX(Active[M_NOAEL], 5)),
                          INDEX(Active[M_NOAEL], 5)/Q231,""),""),"")</f>
        <v/>
      </c>
    </row>
    <row r="232" spans="1:18">
      <c r="A232" s="56"/>
      <c r="B232" s="314" t="str">
        <f t="shared" ca="1" si="9"/>
        <v>No input</v>
      </c>
      <c r="C232" s="72" t="s">
        <v>229</v>
      </c>
      <c r="D232" s="73" t="s">
        <v>110</v>
      </c>
      <c r="E232" s="73" t="s">
        <v>275</v>
      </c>
      <c r="F232" s="113">
        <v>14.3</v>
      </c>
      <c r="G232" s="203" t="str">
        <f ca="1">IF(AND(Mammal_Chronic[[#This Row],[Relevance]]="Input provided", Count&gt;=1),
       IF(M_ChronicScheme="C(mix)",
                 HLOOKUP(Mammal_Chronic[[#This Row],[Crop]], Input_Scenario,10,FALSE)*Mammal_Chronic[[#This Row],[SVm]]*HLOOKUP(Mammal_Chronic[[#This Row],[Crop]],Input_Scenario,8,FALSE),""),"")</f>
        <v/>
      </c>
      <c r="H232" s="368" t="str">
        <f t="shared" si="10"/>
        <v/>
      </c>
      <c r="I232" s="370" t="str">
        <f>IFERROR(IF(Active1=TRUE,HLOOKUP(Mammal_Chronic[[#This Row],[Crop]],Input_Scenario,11,FALSE)*HLOOKUP(Mammal_Chronic[[#This Row],[Crop]],Input_Scenario,8,FALSE)*Mammal_Chronic[[#This Row],[SVm]],""),"")</f>
        <v/>
      </c>
      <c r="J232" s="370" t="str">
        <f t="shared" ca="1" si="11"/>
        <v/>
      </c>
      <c r="K232" s="370" t="str">
        <f>IFERROR(IF(Active2=TRUE,HLOOKUP(Mammal_Chronic[[#This Row],[Crop]],Input_Scenario,12,FALSE)*HLOOKUP(Mammal_Chronic[[#This Row],[Crop]],Input_Scenario,8,FALSE)*Mammal_Chronic[[#This Row],[SVm]],""),"")</f>
        <v/>
      </c>
      <c r="L232" s="370" t="str">
        <f ca="1">IF($B$3&lt;&gt;"Passive",IFERROR(IF(ISNUMBER(INDEX(Active[M_NOAEL], 2)),
                          INDEX(Active[M_NOAEL], 2)/K232,""),""),"")</f>
        <v/>
      </c>
      <c r="M232" s="370" t="str">
        <f>IFERROR(IF(Active3=TRUE,HLOOKUP(Mammal_Chronic[[#This Row],[Crop]],Input_Scenario,13,FALSE)*HLOOKUP(Mammal_Chronic[[#This Row],[Crop]],Input_Scenario,8,FALSE)*Mammal_Chronic[[#This Row],[SVm]],""),"")</f>
        <v/>
      </c>
      <c r="N232" s="370" t="str">
        <f ca="1">IF($B$3&lt;&gt;"Passive",IFERROR(IF(ISNUMBER(INDEX(Active[M_NOAEL], 3)),
                          INDEX(Active[M_NOAEL], 3)/M232,""),""),"")</f>
        <v/>
      </c>
      <c r="O232" s="370" t="str">
        <f>IFERROR(IF(Active4=TRUE,HLOOKUP(Mammal_Chronic[[#This Row],[Crop]],Input_Scenario,14,FALSE)*HLOOKUP(Mammal_Chronic[[#This Row],[Crop]],Input_Scenario,8,FALSE)*Mammal_Chronic[[#This Row],[SVm]],""),"")</f>
        <v/>
      </c>
      <c r="P232" s="370" t="str">
        <f ca="1">IF($B$3&lt;&gt;"Passive",IFERROR(IF(ISNUMBER(INDEX(Active[M_NOAEL], 4)),
                          INDEX(Active[M_NOAEL], 4)/O232,""),""),"")</f>
        <v/>
      </c>
      <c r="Q232" s="371" t="str">
        <f>IFERROR(IF(Active5=TRUE,HLOOKUP(Mammal_Chronic[[#This Row],[Crop]],Input_Scenario,15,FALSE)*HLOOKUP(Mammal_Chronic[[#This Row],[Crop]],Input_Scenario,8,FALSE)*Mammal_Chronic[[#This Row],[SVm]],""),"")</f>
        <v/>
      </c>
      <c r="R232" s="371" t="str">
        <f ca="1">IF($B$3&lt;&gt;"Passive",IFERROR(IF(ISNUMBER(INDEX(Active[M_NOAEL], 5)),
                          INDEX(Active[M_NOAEL], 5)/Q232,""),""),"")</f>
        <v/>
      </c>
    </row>
    <row r="233" spans="1:18">
      <c r="A233" s="56"/>
      <c r="B233" s="314" t="str">
        <f t="shared" ca="1" si="9"/>
        <v>No input</v>
      </c>
      <c r="C233" s="72" t="s">
        <v>229</v>
      </c>
      <c r="D233" s="73" t="s">
        <v>110</v>
      </c>
      <c r="E233" s="73" t="s">
        <v>271</v>
      </c>
      <c r="F233" s="113">
        <v>7.8</v>
      </c>
      <c r="G233" s="203" t="str">
        <f ca="1">IF(AND(Mammal_Chronic[[#This Row],[Relevance]]="Input provided", Count&gt;=1),
       IF(M_ChronicScheme="C(mix)",
                 HLOOKUP(Mammal_Chronic[[#This Row],[Crop]], Input_Scenario,10,FALSE)*Mammal_Chronic[[#This Row],[SVm]]*HLOOKUP(Mammal_Chronic[[#This Row],[Crop]],Input_Scenario,8,FALSE),""),"")</f>
        <v/>
      </c>
      <c r="H233" s="368" t="str">
        <f t="shared" si="10"/>
        <v/>
      </c>
      <c r="I233" s="370" t="str">
        <f>IFERROR(IF(Active1=TRUE,HLOOKUP(Mammal_Chronic[[#This Row],[Crop]],Input_Scenario,11,FALSE)*HLOOKUP(Mammal_Chronic[[#This Row],[Crop]],Input_Scenario,8,FALSE)*Mammal_Chronic[[#This Row],[SVm]],""),"")</f>
        <v/>
      </c>
      <c r="J233" s="370" t="str">
        <f t="shared" ca="1" si="11"/>
        <v/>
      </c>
      <c r="K233" s="370" t="str">
        <f>IFERROR(IF(Active2=TRUE,HLOOKUP(Mammal_Chronic[[#This Row],[Crop]],Input_Scenario,12,FALSE)*HLOOKUP(Mammal_Chronic[[#This Row],[Crop]],Input_Scenario,8,FALSE)*Mammal_Chronic[[#This Row],[SVm]],""),"")</f>
        <v/>
      </c>
      <c r="L233" s="370" t="str">
        <f ca="1">IF($B$3&lt;&gt;"Passive",IFERROR(IF(ISNUMBER(INDEX(Active[M_NOAEL], 2)),
                          INDEX(Active[M_NOAEL], 2)/K233,""),""),"")</f>
        <v/>
      </c>
      <c r="M233" s="370" t="str">
        <f>IFERROR(IF(Active3=TRUE,HLOOKUP(Mammal_Chronic[[#This Row],[Crop]],Input_Scenario,13,FALSE)*HLOOKUP(Mammal_Chronic[[#This Row],[Crop]],Input_Scenario,8,FALSE)*Mammal_Chronic[[#This Row],[SVm]],""),"")</f>
        <v/>
      </c>
      <c r="N233" s="370" t="str">
        <f ca="1">IF($B$3&lt;&gt;"Passive",IFERROR(IF(ISNUMBER(INDEX(Active[M_NOAEL], 3)),
                          INDEX(Active[M_NOAEL], 3)/M233,""),""),"")</f>
        <v/>
      </c>
      <c r="O233" s="370" t="str">
        <f>IFERROR(IF(Active4=TRUE,HLOOKUP(Mammal_Chronic[[#This Row],[Crop]],Input_Scenario,14,FALSE)*HLOOKUP(Mammal_Chronic[[#This Row],[Crop]],Input_Scenario,8,FALSE)*Mammal_Chronic[[#This Row],[SVm]],""),"")</f>
        <v/>
      </c>
      <c r="P233" s="370" t="str">
        <f ca="1">IF($B$3&lt;&gt;"Passive",IFERROR(IF(ISNUMBER(INDEX(Active[M_NOAEL], 4)),
                          INDEX(Active[M_NOAEL], 4)/O233,""),""),"")</f>
        <v/>
      </c>
      <c r="Q233" s="371" t="str">
        <f>IFERROR(IF(Active5=TRUE,HLOOKUP(Mammal_Chronic[[#This Row],[Crop]],Input_Scenario,15,FALSE)*HLOOKUP(Mammal_Chronic[[#This Row],[Crop]],Input_Scenario,8,FALSE)*Mammal_Chronic[[#This Row],[SVm]],""),"")</f>
        <v/>
      </c>
      <c r="R233" s="371" t="str">
        <f ca="1">IF($B$3&lt;&gt;"Passive",IFERROR(IF(ISNUMBER(INDEX(Active[M_NOAEL], 5)),
                          INDEX(Active[M_NOAEL], 5)/Q233,""),""),"")</f>
        <v/>
      </c>
    </row>
    <row r="234" spans="1:18">
      <c r="A234" s="56"/>
      <c r="B234" s="314" t="str">
        <f t="shared" ca="1" si="9"/>
        <v>No input</v>
      </c>
      <c r="C234" s="72" t="s">
        <v>229</v>
      </c>
      <c r="D234" s="73" t="s">
        <v>111</v>
      </c>
      <c r="E234" s="73" t="s">
        <v>272</v>
      </c>
      <c r="F234" s="113">
        <v>1.9</v>
      </c>
      <c r="G234" s="203" t="str">
        <f ca="1">IF(AND(Mammal_Chronic[[#This Row],[Relevance]]="Input provided", Count&gt;=1),
       IF(M_ChronicScheme="C(mix)",
                 HLOOKUP(Mammal_Chronic[[#This Row],[Crop]], Input_Scenario,10,FALSE)*Mammal_Chronic[[#This Row],[SVm]]*HLOOKUP(Mammal_Chronic[[#This Row],[Crop]],Input_Scenario,8,FALSE),""),"")</f>
        <v/>
      </c>
      <c r="H234" s="368" t="str">
        <f t="shared" si="10"/>
        <v/>
      </c>
      <c r="I234" s="370" t="str">
        <f>IFERROR(IF(Active1=TRUE,HLOOKUP(Mammal_Chronic[[#This Row],[Crop]],Input_Scenario,11,FALSE)*HLOOKUP(Mammal_Chronic[[#This Row],[Crop]],Input_Scenario,8,FALSE)*Mammal_Chronic[[#This Row],[SVm]],""),"")</f>
        <v/>
      </c>
      <c r="J234" s="370" t="str">
        <f t="shared" ca="1" si="11"/>
        <v/>
      </c>
      <c r="K234" s="370" t="str">
        <f>IFERROR(IF(Active2=TRUE,HLOOKUP(Mammal_Chronic[[#This Row],[Crop]],Input_Scenario,12,FALSE)*HLOOKUP(Mammal_Chronic[[#This Row],[Crop]],Input_Scenario,8,FALSE)*Mammal_Chronic[[#This Row],[SVm]],""),"")</f>
        <v/>
      </c>
      <c r="L234" s="370" t="str">
        <f ca="1">IF($B$3&lt;&gt;"Passive",IFERROR(IF(ISNUMBER(INDEX(Active[M_NOAEL], 2)),
                          INDEX(Active[M_NOAEL], 2)/K234,""),""),"")</f>
        <v/>
      </c>
      <c r="M234" s="370" t="str">
        <f>IFERROR(IF(Active3=TRUE,HLOOKUP(Mammal_Chronic[[#This Row],[Crop]],Input_Scenario,13,FALSE)*HLOOKUP(Mammal_Chronic[[#This Row],[Crop]],Input_Scenario,8,FALSE)*Mammal_Chronic[[#This Row],[SVm]],""),"")</f>
        <v/>
      </c>
      <c r="N234" s="370" t="str">
        <f ca="1">IF($B$3&lt;&gt;"Passive",IFERROR(IF(ISNUMBER(INDEX(Active[M_NOAEL], 3)),
                          INDEX(Active[M_NOAEL], 3)/M234,""),""),"")</f>
        <v/>
      </c>
      <c r="O234" s="370" t="str">
        <f>IFERROR(IF(Active4=TRUE,HLOOKUP(Mammal_Chronic[[#This Row],[Crop]],Input_Scenario,14,FALSE)*HLOOKUP(Mammal_Chronic[[#This Row],[Crop]],Input_Scenario,8,FALSE)*Mammal_Chronic[[#This Row],[SVm]],""),"")</f>
        <v/>
      </c>
      <c r="P234" s="370" t="str">
        <f ca="1">IF($B$3&lt;&gt;"Passive",IFERROR(IF(ISNUMBER(INDEX(Active[M_NOAEL], 4)),
                          INDEX(Active[M_NOAEL], 4)/O234,""),""),"")</f>
        <v/>
      </c>
      <c r="Q234" s="371" t="str">
        <f>IFERROR(IF(Active5=TRUE,HLOOKUP(Mammal_Chronic[[#This Row],[Crop]],Input_Scenario,15,FALSE)*HLOOKUP(Mammal_Chronic[[#This Row],[Crop]],Input_Scenario,8,FALSE)*Mammal_Chronic[[#This Row],[SVm]],""),"")</f>
        <v/>
      </c>
      <c r="R234" s="371" t="str">
        <f ca="1">IF($B$3&lt;&gt;"Passive",IFERROR(IF(ISNUMBER(INDEX(Active[M_NOAEL], 5)),
                          INDEX(Active[M_NOAEL], 5)/Q234,""),""),"")</f>
        <v/>
      </c>
    </row>
    <row r="235" spans="1:18">
      <c r="A235" s="56"/>
      <c r="B235" s="314" t="str">
        <f t="shared" ca="1" si="9"/>
        <v>No input</v>
      </c>
      <c r="C235" s="72" t="s">
        <v>229</v>
      </c>
      <c r="D235" s="73" t="s">
        <v>109</v>
      </c>
      <c r="E235" s="73" t="s">
        <v>273</v>
      </c>
      <c r="F235" s="113">
        <v>18.100000000000001</v>
      </c>
      <c r="G235" s="203" t="str">
        <f ca="1">IF(AND(Mammal_Chronic[[#This Row],[Relevance]]="Input provided", Count&gt;=1),
       IF(M_ChronicScheme="C(mix)",
                 HLOOKUP(Mammal_Chronic[[#This Row],[Crop]], Input_Scenario,10,FALSE)*Mammal_Chronic[[#This Row],[SVm]]*HLOOKUP(Mammal_Chronic[[#This Row],[Crop]],Input_Scenario,8,FALSE),""),"")</f>
        <v/>
      </c>
      <c r="H235" s="368" t="str">
        <f t="shared" si="10"/>
        <v/>
      </c>
      <c r="I235" s="370" t="str">
        <f>IFERROR(IF(Active1=TRUE,HLOOKUP(Mammal_Chronic[[#This Row],[Crop]],Input_Scenario,11,FALSE)*HLOOKUP(Mammal_Chronic[[#This Row],[Crop]],Input_Scenario,8,FALSE)*Mammal_Chronic[[#This Row],[SVm]],""),"")</f>
        <v/>
      </c>
      <c r="J235" s="370" t="str">
        <f t="shared" ca="1" si="11"/>
        <v/>
      </c>
      <c r="K235" s="370" t="str">
        <f>IFERROR(IF(Active2=TRUE,HLOOKUP(Mammal_Chronic[[#This Row],[Crop]],Input_Scenario,12,FALSE)*HLOOKUP(Mammal_Chronic[[#This Row],[Crop]],Input_Scenario,8,FALSE)*Mammal_Chronic[[#This Row],[SVm]],""),"")</f>
        <v/>
      </c>
      <c r="L235" s="370" t="str">
        <f ca="1">IF($B$3&lt;&gt;"Passive",IFERROR(IF(ISNUMBER(INDEX(Active[M_NOAEL], 2)),
                          INDEX(Active[M_NOAEL], 2)/K235,""),""),"")</f>
        <v/>
      </c>
      <c r="M235" s="370" t="str">
        <f>IFERROR(IF(Active3=TRUE,HLOOKUP(Mammal_Chronic[[#This Row],[Crop]],Input_Scenario,13,FALSE)*HLOOKUP(Mammal_Chronic[[#This Row],[Crop]],Input_Scenario,8,FALSE)*Mammal_Chronic[[#This Row],[SVm]],""),"")</f>
        <v/>
      </c>
      <c r="N235" s="370" t="str">
        <f ca="1">IF($B$3&lt;&gt;"Passive",IFERROR(IF(ISNUMBER(INDEX(Active[M_NOAEL], 3)),
                          INDEX(Active[M_NOAEL], 3)/M235,""),""),"")</f>
        <v/>
      </c>
      <c r="O235" s="370" t="str">
        <f>IFERROR(IF(Active4=TRUE,HLOOKUP(Mammal_Chronic[[#This Row],[Crop]],Input_Scenario,14,FALSE)*HLOOKUP(Mammal_Chronic[[#This Row],[Crop]],Input_Scenario,8,FALSE)*Mammal_Chronic[[#This Row],[SVm]],""),"")</f>
        <v/>
      </c>
      <c r="P235" s="370" t="str">
        <f ca="1">IF($B$3&lt;&gt;"Passive",IFERROR(IF(ISNUMBER(INDEX(Active[M_NOAEL], 4)),
                          INDEX(Active[M_NOAEL], 4)/O235,""),""),"")</f>
        <v/>
      </c>
      <c r="Q235" s="371" t="str">
        <f>IFERROR(IF(Active5=TRUE,HLOOKUP(Mammal_Chronic[[#This Row],[Crop]],Input_Scenario,15,FALSE)*HLOOKUP(Mammal_Chronic[[#This Row],[Crop]],Input_Scenario,8,FALSE)*Mammal_Chronic[[#This Row],[SVm]],""),"")</f>
        <v/>
      </c>
      <c r="R235" s="371" t="str">
        <f ca="1">IF($B$3&lt;&gt;"Passive",IFERROR(IF(ISNUMBER(INDEX(Active[M_NOAEL], 5)),
                          INDEX(Active[M_NOAEL], 5)/Q235,""),""),"")</f>
        <v/>
      </c>
    </row>
    <row r="236" spans="1:18">
      <c r="A236" s="56"/>
      <c r="B236" s="314" t="str">
        <f t="shared" ca="1" si="9"/>
        <v>No input</v>
      </c>
      <c r="C236" s="72" t="s">
        <v>229</v>
      </c>
      <c r="D236" s="73" t="s">
        <v>109</v>
      </c>
      <c r="E236" s="73" t="s">
        <v>275</v>
      </c>
      <c r="F236" s="113">
        <v>3.6</v>
      </c>
      <c r="G236" s="203" t="str">
        <f ca="1">IF(AND(Mammal_Chronic[[#This Row],[Relevance]]="Input provided", Count&gt;=1),
       IF(M_ChronicScheme="C(mix)",
                 HLOOKUP(Mammal_Chronic[[#This Row],[Crop]], Input_Scenario,10,FALSE)*Mammal_Chronic[[#This Row],[SVm]]*HLOOKUP(Mammal_Chronic[[#This Row],[Crop]],Input_Scenario,8,FALSE),""),"")</f>
        <v/>
      </c>
      <c r="H236" s="368" t="str">
        <f t="shared" si="10"/>
        <v/>
      </c>
      <c r="I236" s="370" t="str">
        <f>IFERROR(IF(Active1=TRUE,HLOOKUP(Mammal_Chronic[[#This Row],[Crop]],Input_Scenario,11,FALSE)*HLOOKUP(Mammal_Chronic[[#This Row],[Crop]],Input_Scenario,8,FALSE)*Mammal_Chronic[[#This Row],[SVm]],""),"")</f>
        <v/>
      </c>
      <c r="J236" s="370" t="str">
        <f t="shared" ca="1" si="11"/>
        <v/>
      </c>
      <c r="K236" s="370" t="str">
        <f>IFERROR(IF(Active2=TRUE,HLOOKUP(Mammal_Chronic[[#This Row],[Crop]],Input_Scenario,12,FALSE)*HLOOKUP(Mammal_Chronic[[#This Row],[Crop]],Input_Scenario,8,FALSE)*Mammal_Chronic[[#This Row],[SVm]],""),"")</f>
        <v/>
      </c>
      <c r="L236" s="370" t="str">
        <f ca="1">IF($B$3&lt;&gt;"Passive",IFERROR(IF(ISNUMBER(INDEX(Active[M_NOAEL], 2)),
                          INDEX(Active[M_NOAEL], 2)/K236,""),""),"")</f>
        <v/>
      </c>
      <c r="M236" s="370" t="str">
        <f>IFERROR(IF(Active3=TRUE,HLOOKUP(Mammal_Chronic[[#This Row],[Crop]],Input_Scenario,13,FALSE)*HLOOKUP(Mammal_Chronic[[#This Row],[Crop]],Input_Scenario,8,FALSE)*Mammal_Chronic[[#This Row],[SVm]],""),"")</f>
        <v/>
      </c>
      <c r="N236" s="370" t="str">
        <f ca="1">IF($B$3&lt;&gt;"Passive",IFERROR(IF(ISNUMBER(INDEX(Active[M_NOAEL], 3)),
                          INDEX(Active[M_NOAEL], 3)/M236,""),""),"")</f>
        <v/>
      </c>
      <c r="O236" s="370" t="str">
        <f>IFERROR(IF(Active4=TRUE,HLOOKUP(Mammal_Chronic[[#This Row],[Crop]],Input_Scenario,14,FALSE)*HLOOKUP(Mammal_Chronic[[#This Row],[Crop]],Input_Scenario,8,FALSE)*Mammal_Chronic[[#This Row],[SVm]],""),"")</f>
        <v/>
      </c>
      <c r="P236" s="370" t="str">
        <f ca="1">IF($B$3&lt;&gt;"Passive",IFERROR(IF(ISNUMBER(INDEX(Active[M_NOAEL], 4)),
                          INDEX(Active[M_NOAEL], 4)/O236,""),""),"")</f>
        <v/>
      </c>
      <c r="Q236" s="371" t="str">
        <f>IFERROR(IF(Active5=TRUE,HLOOKUP(Mammal_Chronic[[#This Row],[Crop]],Input_Scenario,15,FALSE)*HLOOKUP(Mammal_Chronic[[#This Row],[Crop]],Input_Scenario,8,FALSE)*Mammal_Chronic[[#This Row],[SVm]],""),"")</f>
        <v/>
      </c>
      <c r="R236" s="371" t="str">
        <f ca="1">IF($B$3&lt;&gt;"Passive",IFERROR(IF(ISNUMBER(INDEX(Active[M_NOAEL], 5)),
                          INDEX(Active[M_NOAEL], 5)/Q236,""),""),"")</f>
        <v/>
      </c>
    </row>
    <row r="237" spans="1:18">
      <c r="A237" s="56"/>
      <c r="B237" s="314" t="str">
        <f t="shared" ca="1" si="9"/>
        <v>No input</v>
      </c>
      <c r="C237" s="72" t="s">
        <v>229</v>
      </c>
      <c r="D237" s="73" t="s">
        <v>109</v>
      </c>
      <c r="E237" s="73" t="s">
        <v>271</v>
      </c>
      <c r="F237" s="113">
        <v>1.9</v>
      </c>
      <c r="G237" s="203" t="str">
        <f ca="1">IF(AND(Mammal_Chronic[[#This Row],[Relevance]]="Input provided", Count&gt;=1),
       IF(M_ChronicScheme="C(mix)",
                 HLOOKUP(Mammal_Chronic[[#This Row],[Crop]], Input_Scenario,10,FALSE)*Mammal_Chronic[[#This Row],[SVm]]*HLOOKUP(Mammal_Chronic[[#This Row],[Crop]],Input_Scenario,8,FALSE),""),"")</f>
        <v/>
      </c>
      <c r="H237" s="368" t="str">
        <f t="shared" si="10"/>
        <v/>
      </c>
      <c r="I237" s="370" t="str">
        <f>IFERROR(IF(Active1=TRUE,HLOOKUP(Mammal_Chronic[[#This Row],[Crop]],Input_Scenario,11,FALSE)*HLOOKUP(Mammal_Chronic[[#This Row],[Crop]],Input_Scenario,8,FALSE)*Mammal_Chronic[[#This Row],[SVm]],""),"")</f>
        <v/>
      </c>
      <c r="J237" s="370" t="str">
        <f t="shared" ca="1" si="11"/>
        <v/>
      </c>
      <c r="K237" s="370" t="str">
        <f>IFERROR(IF(Active2=TRUE,HLOOKUP(Mammal_Chronic[[#This Row],[Crop]],Input_Scenario,12,FALSE)*HLOOKUP(Mammal_Chronic[[#This Row],[Crop]],Input_Scenario,8,FALSE)*Mammal_Chronic[[#This Row],[SVm]],""),"")</f>
        <v/>
      </c>
      <c r="L237" s="370" t="str">
        <f ca="1">IF($B$3&lt;&gt;"Passive",IFERROR(IF(ISNUMBER(INDEX(Active[M_NOAEL], 2)),
                          INDEX(Active[M_NOAEL], 2)/K237,""),""),"")</f>
        <v/>
      </c>
      <c r="M237" s="370" t="str">
        <f>IFERROR(IF(Active3=TRUE,HLOOKUP(Mammal_Chronic[[#This Row],[Crop]],Input_Scenario,13,FALSE)*HLOOKUP(Mammal_Chronic[[#This Row],[Crop]],Input_Scenario,8,FALSE)*Mammal_Chronic[[#This Row],[SVm]],""),"")</f>
        <v/>
      </c>
      <c r="N237" s="370" t="str">
        <f ca="1">IF($B$3&lt;&gt;"Passive",IFERROR(IF(ISNUMBER(INDEX(Active[M_NOAEL], 3)),
                          INDEX(Active[M_NOAEL], 3)/M237,""),""),"")</f>
        <v/>
      </c>
      <c r="O237" s="370" t="str">
        <f>IFERROR(IF(Active4=TRUE,HLOOKUP(Mammal_Chronic[[#This Row],[Crop]],Input_Scenario,14,FALSE)*HLOOKUP(Mammal_Chronic[[#This Row],[Crop]],Input_Scenario,8,FALSE)*Mammal_Chronic[[#This Row],[SVm]],""),"")</f>
        <v/>
      </c>
      <c r="P237" s="370" t="str">
        <f ca="1">IF($B$3&lt;&gt;"Passive",IFERROR(IF(ISNUMBER(INDEX(Active[M_NOAEL], 4)),
                          INDEX(Active[M_NOAEL], 4)/O237,""),""),"")</f>
        <v/>
      </c>
      <c r="Q237" s="371" t="str">
        <f>IFERROR(IF(Active5=TRUE,HLOOKUP(Mammal_Chronic[[#This Row],[Crop]],Input_Scenario,15,FALSE)*HLOOKUP(Mammal_Chronic[[#This Row],[Crop]],Input_Scenario,8,FALSE)*Mammal_Chronic[[#This Row],[SVm]],""),"")</f>
        <v/>
      </c>
      <c r="R237" s="371" t="str">
        <f ca="1">IF($B$3&lt;&gt;"Passive",IFERROR(IF(ISNUMBER(INDEX(Active[M_NOAEL], 5)),
                          INDEX(Active[M_NOAEL], 5)/Q237,""),""),"")</f>
        <v/>
      </c>
    </row>
    <row r="238" spans="1:18">
      <c r="A238" s="56"/>
      <c r="B238" s="314" t="str">
        <f t="shared" ca="1" si="9"/>
        <v>No input</v>
      </c>
      <c r="C238" s="72" t="s">
        <v>187</v>
      </c>
      <c r="D238" s="73" t="s">
        <v>108</v>
      </c>
      <c r="E238" s="73" t="s">
        <v>272</v>
      </c>
      <c r="F238" s="113">
        <v>4.2</v>
      </c>
      <c r="G238" s="203" t="str">
        <f ca="1">IF(AND(Mammal_Chronic[[#This Row],[Relevance]]="Input provided", Count&gt;=1),
       IF(M_ChronicScheme="C(mix)",
                 HLOOKUP(Mammal_Chronic[[#This Row],[Crop]], Input_Scenario,10,FALSE)*Mammal_Chronic[[#This Row],[SVm]]*HLOOKUP(Mammal_Chronic[[#This Row],[Crop]],Input_Scenario,8,FALSE),""),"")</f>
        <v/>
      </c>
      <c r="H238" s="368" t="str">
        <f t="shared" si="10"/>
        <v/>
      </c>
      <c r="I238" s="370" t="str">
        <f>IFERROR(IF(Active1=TRUE,HLOOKUP(Mammal_Chronic[[#This Row],[Crop]],Input_Scenario,11,FALSE)*HLOOKUP(Mammal_Chronic[[#This Row],[Crop]],Input_Scenario,8,FALSE)*Mammal_Chronic[[#This Row],[SVm]],""),"")</f>
        <v/>
      </c>
      <c r="J238" s="370" t="str">
        <f t="shared" ca="1" si="11"/>
        <v/>
      </c>
      <c r="K238" s="370" t="str">
        <f>IFERROR(IF(Active2=TRUE,HLOOKUP(Mammal_Chronic[[#This Row],[Crop]],Input_Scenario,12,FALSE)*HLOOKUP(Mammal_Chronic[[#This Row],[Crop]],Input_Scenario,8,FALSE)*Mammal_Chronic[[#This Row],[SVm]],""),"")</f>
        <v/>
      </c>
      <c r="L238" s="370" t="str">
        <f ca="1">IF($B$3&lt;&gt;"Passive",IFERROR(IF(ISNUMBER(INDEX(Active[M_NOAEL], 2)),
                          INDEX(Active[M_NOAEL], 2)/K238,""),""),"")</f>
        <v/>
      </c>
      <c r="M238" s="370" t="str">
        <f>IFERROR(IF(Active3=TRUE,HLOOKUP(Mammal_Chronic[[#This Row],[Crop]],Input_Scenario,13,FALSE)*HLOOKUP(Mammal_Chronic[[#This Row],[Crop]],Input_Scenario,8,FALSE)*Mammal_Chronic[[#This Row],[SVm]],""),"")</f>
        <v/>
      </c>
      <c r="N238" s="370" t="str">
        <f ca="1">IF($B$3&lt;&gt;"Passive",IFERROR(IF(ISNUMBER(INDEX(Active[M_NOAEL], 3)),
                          INDEX(Active[M_NOAEL], 3)/M238,""),""),"")</f>
        <v/>
      </c>
      <c r="O238" s="370" t="str">
        <f>IFERROR(IF(Active4=TRUE,HLOOKUP(Mammal_Chronic[[#This Row],[Crop]],Input_Scenario,14,FALSE)*HLOOKUP(Mammal_Chronic[[#This Row],[Crop]],Input_Scenario,8,FALSE)*Mammal_Chronic[[#This Row],[SVm]],""),"")</f>
        <v/>
      </c>
      <c r="P238" s="370" t="str">
        <f ca="1">IF($B$3&lt;&gt;"Passive",IFERROR(IF(ISNUMBER(INDEX(Active[M_NOAEL], 4)),
                          INDEX(Active[M_NOAEL], 4)/O238,""),""),"")</f>
        <v/>
      </c>
      <c r="Q238" s="371" t="str">
        <f>IFERROR(IF(Active5=TRUE,HLOOKUP(Mammal_Chronic[[#This Row],[Crop]],Input_Scenario,15,FALSE)*HLOOKUP(Mammal_Chronic[[#This Row],[Crop]],Input_Scenario,8,FALSE)*Mammal_Chronic[[#This Row],[SVm]],""),"")</f>
        <v/>
      </c>
      <c r="R238" s="371" t="str">
        <f ca="1">IF($B$3&lt;&gt;"Passive",IFERROR(IF(ISNUMBER(INDEX(Active[M_NOAEL], 5)),
                          INDEX(Active[M_NOAEL], 5)/Q238,""),""),"")</f>
        <v/>
      </c>
    </row>
    <row r="239" spans="1:18">
      <c r="A239" s="56"/>
      <c r="B239" s="314" t="str">
        <f t="shared" ca="1" si="9"/>
        <v>No input</v>
      </c>
      <c r="C239" s="72" t="s">
        <v>187</v>
      </c>
      <c r="D239" s="73" t="s">
        <v>108</v>
      </c>
      <c r="E239" s="73" t="s">
        <v>275</v>
      </c>
      <c r="F239" s="113">
        <v>14.3</v>
      </c>
      <c r="G239" s="203" t="str">
        <f ca="1">IF(AND(Mammal_Chronic[[#This Row],[Relevance]]="Input provided", Count&gt;=1),
       IF(M_ChronicScheme="C(mix)",
                 HLOOKUP(Mammal_Chronic[[#This Row],[Crop]], Input_Scenario,10,FALSE)*Mammal_Chronic[[#This Row],[SVm]]*HLOOKUP(Mammal_Chronic[[#This Row],[Crop]],Input_Scenario,8,FALSE),""),"")</f>
        <v/>
      </c>
      <c r="H239" s="368" t="str">
        <f t="shared" si="10"/>
        <v/>
      </c>
      <c r="I239" s="370" t="str">
        <f>IFERROR(IF(Active1=TRUE,HLOOKUP(Mammal_Chronic[[#This Row],[Crop]],Input_Scenario,11,FALSE)*HLOOKUP(Mammal_Chronic[[#This Row],[Crop]],Input_Scenario,8,FALSE)*Mammal_Chronic[[#This Row],[SVm]],""),"")</f>
        <v/>
      </c>
      <c r="J239" s="370" t="str">
        <f t="shared" ca="1" si="11"/>
        <v/>
      </c>
      <c r="K239" s="370" t="str">
        <f>IFERROR(IF(Active2=TRUE,HLOOKUP(Mammal_Chronic[[#This Row],[Crop]],Input_Scenario,12,FALSE)*HLOOKUP(Mammal_Chronic[[#This Row],[Crop]],Input_Scenario,8,FALSE)*Mammal_Chronic[[#This Row],[SVm]],""),"")</f>
        <v/>
      </c>
      <c r="L239" s="370" t="str">
        <f ca="1">IF($B$3&lt;&gt;"Passive",IFERROR(IF(ISNUMBER(INDEX(Active[M_NOAEL], 2)),
                          INDEX(Active[M_NOAEL], 2)/K239,""),""),"")</f>
        <v/>
      </c>
      <c r="M239" s="370" t="str">
        <f>IFERROR(IF(Active3=TRUE,HLOOKUP(Mammal_Chronic[[#This Row],[Crop]],Input_Scenario,13,FALSE)*HLOOKUP(Mammal_Chronic[[#This Row],[Crop]],Input_Scenario,8,FALSE)*Mammal_Chronic[[#This Row],[SVm]],""),"")</f>
        <v/>
      </c>
      <c r="N239" s="370" t="str">
        <f ca="1">IF($B$3&lt;&gt;"Passive",IFERROR(IF(ISNUMBER(INDEX(Active[M_NOAEL], 3)),
                          INDEX(Active[M_NOAEL], 3)/M239,""),""),"")</f>
        <v/>
      </c>
      <c r="O239" s="370" t="str">
        <f>IFERROR(IF(Active4=TRUE,HLOOKUP(Mammal_Chronic[[#This Row],[Crop]],Input_Scenario,14,FALSE)*HLOOKUP(Mammal_Chronic[[#This Row],[Crop]],Input_Scenario,8,FALSE)*Mammal_Chronic[[#This Row],[SVm]],""),"")</f>
        <v/>
      </c>
      <c r="P239" s="370" t="str">
        <f ca="1">IF($B$3&lt;&gt;"Passive",IFERROR(IF(ISNUMBER(INDEX(Active[M_NOAEL], 4)),
                          INDEX(Active[M_NOAEL], 4)/O239,""),""),"")</f>
        <v/>
      </c>
      <c r="Q239" s="371" t="str">
        <f>IFERROR(IF(Active5=TRUE,HLOOKUP(Mammal_Chronic[[#This Row],[Crop]],Input_Scenario,15,FALSE)*HLOOKUP(Mammal_Chronic[[#This Row],[Crop]],Input_Scenario,8,FALSE)*Mammal_Chronic[[#This Row],[SVm]],""),"")</f>
        <v/>
      </c>
      <c r="R239" s="371" t="str">
        <f ca="1">IF($B$3&lt;&gt;"Passive",IFERROR(IF(ISNUMBER(INDEX(Active[M_NOAEL], 5)),
                          INDEX(Active[M_NOAEL], 5)/Q239,""),""),"")</f>
        <v/>
      </c>
    </row>
    <row r="240" spans="1:18">
      <c r="A240" s="56"/>
      <c r="B240" s="314" t="str">
        <f t="shared" ca="1" si="9"/>
        <v>No input</v>
      </c>
      <c r="C240" s="72" t="s">
        <v>187</v>
      </c>
      <c r="D240" s="73" t="s">
        <v>108</v>
      </c>
      <c r="E240" s="73" t="s">
        <v>271</v>
      </c>
      <c r="F240" s="113">
        <v>7.8</v>
      </c>
      <c r="G240" s="203" t="str">
        <f ca="1">IF(AND(Mammal_Chronic[[#This Row],[Relevance]]="Input provided", Count&gt;=1),
       IF(M_ChronicScheme="C(mix)",
                 HLOOKUP(Mammal_Chronic[[#This Row],[Crop]], Input_Scenario,10,FALSE)*Mammal_Chronic[[#This Row],[SVm]]*HLOOKUP(Mammal_Chronic[[#This Row],[Crop]],Input_Scenario,8,FALSE),""),"")</f>
        <v/>
      </c>
      <c r="H240" s="368" t="str">
        <f t="shared" si="10"/>
        <v/>
      </c>
      <c r="I240" s="370" t="str">
        <f>IFERROR(IF(Active1=TRUE,HLOOKUP(Mammal_Chronic[[#This Row],[Crop]],Input_Scenario,11,FALSE)*HLOOKUP(Mammal_Chronic[[#This Row],[Crop]],Input_Scenario,8,FALSE)*Mammal_Chronic[[#This Row],[SVm]],""),"")</f>
        <v/>
      </c>
      <c r="J240" s="370" t="str">
        <f t="shared" ca="1" si="11"/>
        <v/>
      </c>
      <c r="K240" s="370" t="str">
        <f>IFERROR(IF(Active2=TRUE,HLOOKUP(Mammal_Chronic[[#This Row],[Crop]],Input_Scenario,12,FALSE)*HLOOKUP(Mammal_Chronic[[#This Row],[Crop]],Input_Scenario,8,FALSE)*Mammal_Chronic[[#This Row],[SVm]],""),"")</f>
        <v/>
      </c>
      <c r="L240" s="370" t="str">
        <f ca="1">IF($B$3&lt;&gt;"Passive",IFERROR(IF(ISNUMBER(INDEX(Active[M_NOAEL], 2)),
                          INDEX(Active[M_NOAEL], 2)/K240,""),""),"")</f>
        <v/>
      </c>
      <c r="M240" s="370" t="str">
        <f>IFERROR(IF(Active3=TRUE,HLOOKUP(Mammal_Chronic[[#This Row],[Crop]],Input_Scenario,13,FALSE)*HLOOKUP(Mammal_Chronic[[#This Row],[Crop]],Input_Scenario,8,FALSE)*Mammal_Chronic[[#This Row],[SVm]],""),"")</f>
        <v/>
      </c>
      <c r="N240" s="370" t="str">
        <f ca="1">IF($B$3&lt;&gt;"Passive",IFERROR(IF(ISNUMBER(INDEX(Active[M_NOAEL], 3)),
                          INDEX(Active[M_NOAEL], 3)/M240,""),""),"")</f>
        <v/>
      </c>
      <c r="O240" s="370" t="str">
        <f>IFERROR(IF(Active4=TRUE,HLOOKUP(Mammal_Chronic[[#This Row],[Crop]],Input_Scenario,14,FALSE)*HLOOKUP(Mammal_Chronic[[#This Row],[Crop]],Input_Scenario,8,FALSE)*Mammal_Chronic[[#This Row],[SVm]],""),"")</f>
        <v/>
      </c>
      <c r="P240" s="370" t="str">
        <f ca="1">IF($B$3&lt;&gt;"Passive",IFERROR(IF(ISNUMBER(INDEX(Active[M_NOAEL], 4)),
                          INDEX(Active[M_NOAEL], 4)/O240,""),""),"")</f>
        <v/>
      </c>
      <c r="Q240" s="371" t="str">
        <f>IFERROR(IF(Active5=TRUE,HLOOKUP(Mammal_Chronic[[#This Row],[Crop]],Input_Scenario,15,FALSE)*HLOOKUP(Mammal_Chronic[[#This Row],[Crop]],Input_Scenario,8,FALSE)*Mammal_Chronic[[#This Row],[SVm]],""),"")</f>
        <v/>
      </c>
      <c r="R240" s="371" t="str">
        <f ca="1">IF($B$3&lt;&gt;"Passive",IFERROR(IF(ISNUMBER(INDEX(Active[M_NOAEL], 5)),
                          INDEX(Active[M_NOAEL], 5)/Q240,""),""),"")</f>
        <v/>
      </c>
    </row>
    <row r="241" spans="1:18">
      <c r="A241" s="56"/>
      <c r="B241" s="314" t="str">
        <f t="shared" ca="1" si="9"/>
        <v>No input</v>
      </c>
      <c r="C241" s="72" t="s">
        <v>187</v>
      </c>
      <c r="D241" s="73" t="s">
        <v>111</v>
      </c>
      <c r="E241" s="73" t="s">
        <v>280</v>
      </c>
      <c r="F241" s="113">
        <v>1.9</v>
      </c>
      <c r="G241" s="203" t="str">
        <f ca="1">IF(AND(Mammal_Chronic[[#This Row],[Relevance]]="Input provided", Count&gt;=1),
       IF(M_ChronicScheme="C(mix)",
                 HLOOKUP(Mammal_Chronic[[#This Row],[Crop]], Input_Scenario,10,FALSE)*Mammal_Chronic[[#This Row],[SVm]]*HLOOKUP(Mammal_Chronic[[#This Row],[Crop]],Input_Scenario,8,FALSE),""),"")</f>
        <v/>
      </c>
      <c r="H241" s="368" t="str">
        <f t="shared" si="10"/>
        <v/>
      </c>
      <c r="I241" s="370" t="str">
        <f>IFERROR(IF(Active1=TRUE,HLOOKUP(Mammal_Chronic[[#This Row],[Crop]],Input_Scenario,11,FALSE)*HLOOKUP(Mammal_Chronic[[#This Row],[Crop]],Input_Scenario,8,FALSE)*Mammal_Chronic[[#This Row],[SVm]],""),"")</f>
        <v/>
      </c>
      <c r="J241" s="370" t="str">
        <f t="shared" ca="1" si="11"/>
        <v/>
      </c>
      <c r="K241" s="370" t="str">
        <f>IFERROR(IF(Active2=TRUE,HLOOKUP(Mammal_Chronic[[#This Row],[Crop]],Input_Scenario,12,FALSE)*HLOOKUP(Mammal_Chronic[[#This Row],[Crop]],Input_Scenario,8,FALSE)*Mammal_Chronic[[#This Row],[SVm]],""),"")</f>
        <v/>
      </c>
      <c r="L241" s="370" t="str">
        <f ca="1">IF($B$3&lt;&gt;"Passive",IFERROR(IF(ISNUMBER(INDEX(Active[M_NOAEL], 2)),
                          INDEX(Active[M_NOAEL], 2)/K241,""),""),"")</f>
        <v/>
      </c>
      <c r="M241" s="370" t="str">
        <f>IFERROR(IF(Active3=TRUE,HLOOKUP(Mammal_Chronic[[#This Row],[Crop]],Input_Scenario,13,FALSE)*HLOOKUP(Mammal_Chronic[[#This Row],[Crop]],Input_Scenario,8,FALSE)*Mammal_Chronic[[#This Row],[SVm]],""),"")</f>
        <v/>
      </c>
      <c r="N241" s="370" t="str">
        <f ca="1">IF($B$3&lt;&gt;"Passive",IFERROR(IF(ISNUMBER(INDEX(Active[M_NOAEL], 3)),
                          INDEX(Active[M_NOAEL], 3)/M241,""),""),"")</f>
        <v/>
      </c>
      <c r="O241" s="370" t="str">
        <f>IFERROR(IF(Active4=TRUE,HLOOKUP(Mammal_Chronic[[#This Row],[Crop]],Input_Scenario,14,FALSE)*HLOOKUP(Mammal_Chronic[[#This Row],[Crop]],Input_Scenario,8,FALSE)*Mammal_Chronic[[#This Row],[SVm]],""),"")</f>
        <v/>
      </c>
      <c r="P241" s="370" t="str">
        <f ca="1">IF($B$3&lt;&gt;"Passive",IFERROR(IF(ISNUMBER(INDEX(Active[M_NOAEL], 4)),
                          INDEX(Active[M_NOAEL], 4)/O241,""),""),"")</f>
        <v/>
      </c>
      <c r="Q241" s="371" t="str">
        <f>IFERROR(IF(Active5=TRUE,HLOOKUP(Mammal_Chronic[[#This Row],[Crop]],Input_Scenario,15,FALSE)*HLOOKUP(Mammal_Chronic[[#This Row],[Crop]],Input_Scenario,8,FALSE)*Mammal_Chronic[[#This Row],[SVm]],""),"")</f>
        <v/>
      </c>
      <c r="R241" s="371" t="str">
        <f ca="1">IF($B$3&lt;&gt;"Passive",IFERROR(IF(ISNUMBER(INDEX(Active[M_NOAEL], 5)),
                          INDEX(Active[M_NOAEL], 5)/Q241,""),""),"")</f>
        <v/>
      </c>
    </row>
    <row r="242" spans="1:18">
      <c r="A242" s="56"/>
      <c r="B242" s="314" t="str">
        <f t="shared" ca="1" si="9"/>
        <v>No input</v>
      </c>
      <c r="C242" s="72" t="s">
        <v>187</v>
      </c>
      <c r="D242" s="73" t="s">
        <v>146</v>
      </c>
      <c r="E242" s="73" t="s">
        <v>275</v>
      </c>
      <c r="F242" s="113">
        <v>7.2</v>
      </c>
      <c r="G242" s="203" t="str">
        <f ca="1">IF(AND(Mammal_Chronic[[#This Row],[Relevance]]="Input provided", Count&gt;=1),
       IF(M_ChronicScheme="C(mix)",
                 HLOOKUP(Mammal_Chronic[[#This Row],[Crop]], Input_Scenario,10,FALSE)*Mammal_Chronic[[#This Row],[SVm]]*HLOOKUP(Mammal_Chronic[[#This Row],[Crop]],Input_Scenario,8,FALSE),""),"")</f>
        <v/>
      </c>
      <c r="H242" s="368" t="str">
        <f t="shared" si="10"/>
        <v/>
      </c>
      <c r="I242" s="370" t="str">
        <f>IFERROR(IF(Active1=TRUE,HLOOKUP(Mammal_Chronic[[#This Row],[Crop]],Input_Scenario,11,FALSE)*HLOOKUP(Mammal_Chronic[[#This Row],[Crop]],Input_Scenario,8,FALSE)*Mammal_Chronic[[#This Row],[SVm]],""),"")</f>
        <v/>
      </c>
      <c r="J242" s="370" t="str">
        <f t="shared" ca="1" si="11"/>
        <v/>
      </c>
      <c r="K242" s="370" t="str">
        <f>IFERROR(IF(Active2=TRUE,HLOOKUP(Mammal_Chronic[[#This Row],[Crop]],Input_Scenario,12,FALSE)*HLOOKUP(Mammal_Chronic[[#This Row],[Crop]],Input_Scenario,8,FALSE)*Mammal_Chronic[[#This Row],[SVm]],""),"")</f>
        <v/>
      </c>
      <c r="L242" s="370" t="str">
        <f ca="1">IF($B$3&lt;&gt;"Passive",IFERROR(IF(ISNUMBER(INDEX(Active[M_NOAEL], 2)),
                          INDEX(Active[M_NOAEL], 2)/K242,""),""),"")</f>
        <v/>
      </c>
      <c r="M242" s="370" t="str">
        <f>IFERROR(IF(Active3=TRUE,HLOOKUP(Mammal_Chronic[[#This Row],[Crop]],Input_Scenario,13,FALSE)*HLOOKUP(Mammal_Chronic[[#This Row],[Crop]],Input_Scenario,8,FALSE)*Mammal_Chronic[[#This Row],[SVm]],""),"")</f>
        <v/>
      </c>
      <c r="N242" s="370" t="str">
        <f ca="1">IF($B$3&lt;&gt;"Passive",IFERROR(IF(ISNUMBER(INDEX(Active[M_NOAEL], 3)),
                          INDEX(Active[M_NOAEL], 3)/M242,""),""),"")</f>
        <v/>
      </c>
      <c r="O242" s="370" t="str">
        <f>IFERROR(IF(Active4=TRUE,HLOOKUP(Mammal_Chronic[[#This Row],[Crop]],Input_Scenario,14,FALSE)*HLOOKUP(Mammal_Chronic[[#This Row],[Crop]],Input_Scenario,8,FALSE)*Mammal_Chronic[[#This Row],[SVm]],""),"")</f>
        <v/>
      </c>
      <c r="P242" s="370" t="str">
        <f ca="1">IF($B$3&lt;&gt;"Passive",IFERROR(IF(ISNUMBER(INDEX(Active[M_NOAEL], 4)),
                          INDEX(Active[M_NOAEL], 4)/O242,""),""),"")</f>
        <v/>
      </c>
      <c r="Q242" s="371" t="str">
        <f>IFERROR(IF(Active5=TRUE,HLOOKUP(Mammal_Chronic[[#This Row],[Crop]],Input_Scenario,15,FALSE)*HLOOKUP(Mammal_Chronic[[#This Row],[Crop]],Input_Scenario,8,FALSE)*Mammal_Chronic[[#This Row],[SVm]],""),"")</f>
        <v/>
      </c>
      <c r="R242" s="371" t="str">
        <f ca="1">IF($B$3&lt;&gt;"Passive",IFERROR(IF(ISNUMBER(INDEX(Active[M_NOAEL], 5)),
                          INDEX(Active[M_NOAEL], 5)/Q242,""),""),"")</f>
        <v/>
      </c>
    </row>
    <row r="243" spans="1:18">
      <c r="A243" s="56"/>
      <c r="B243" s="314" t="str">
        <f t="shared" ca="1" si="9"/>
        <v>No input</v>
      </c>
      <c r="C243" s="72" t="s">
        <v>187</v>
      </c>
      <c r="D243" s="73" t="s">
        <v>146</v>
      </c>
      <c r="E243" s="73" t="s">
        <v>271</v>
      </c>
      <c r="F243" s="113">
        <v>3.9</v>
      </c>
      <c r="G243" s="203" t="str">
        <f ca="1">IF(AND(Mammal_Chronic[[#This Row],[Relevance]]="Input provided", Count&gt;=1),
       IF(M_ChronicScheme="C(mix)",
                 HLOOKUP(Mammal_Chronic[[#This Row],[Crop]], Input_Scenario,10,FALSE)*Mammal_Chronic[[#This Row],[SVm]]*HLOOKUP(Mammal_Chronic[[#This Row],[Crop]],Input_Scenario,8,FALSE),""),"")</f>
        <v/>
      </c>
      <c r="H243" s="368" t="str">
        <f t="shared" si="10"/>
        <v/>
      </c>
      <c r="I243" s="370" t="str">
        <f>IFERROR(IF(Active1=TRUE,HLOOKUP(Mammal_Chronic[[#This Row],[Crop]],Input_Scenario,11,FALSE)*HLOOKUP(Mammal_Chronic[[#This Row],[Crop]],Input_Scenario,8,FALSE)*Mammal_Chronic[[#This Row],[SVm]],""),"")</f>
        <v/>
      </c>
      <c r="J243" s="370" t="str">
        <f t="shared" ca="1" si="11"/>
        <v/>
      </c>
      <c r="K243" s="370" t="str">
        <f>IFERROR(IF(Active2=TRUE,HLOOKUP(Mammal_Chronic[[#This Row],[Crop]],Input_Scenario,12,FALSE)*HLOOKUP(Mammal_Chronic[[#This Row],[Crop]],Input_Scenario,8,FALSE)*Mammal_Chronic[[#This Row],[SVm]],""),"")</f>
        <v/>
      </c>
      <c r="L243" s="370" t="str">
        <f ca="1">IF($B$3&lt;&gt;"Passive",IFERROR(IF(ISNUMBER(INDEX(Active[M_NOAEL], 2)),
                          INDEX(Active[M_NOAEL], 2)/K243,""),""),"")</f>
        <v/>
      </c>
      <c r="M243" s="370" t="str">
        <f>IFERROR(IF(Active3=TRUE,HLOOKUP(Mammal_Chronic[[#This Row],[Crop]],Input_Scenario,13,FALSE)*HLOOKUP(Mammal_Chronic[[#This Row],[Crop]],Input_Scenario,8,FALSE)*Mammal_Chronic[[#This Row],[SVm]],""),"")</f>
        <v/>
      </c>
      <c r="N243" s="370" t="str">
        <f ca="1">IF($B$3&lt;&gt;"Passive",IFERROR(IF(ISNUMBER(INDEX(Active[M_NOAEL], 3)),
                          INDEX(Active[M_NOAEL], 3)/M243,""),""),"")</f>
        <v/>
      </c>
      <c r="O243" s="370" t="str">
        <f>IFERROR(IF(Active4=TRUE,HLOOKUP(Mammal_Chronic[[#This Row],[Crop]],Input_Scenario,14,FALSE)*HLOOKUP(Mammal_Chronic[[#This Row],[Crop]],Input_Scenario,8,FALSE)*Mammal_Chronic[[#This Row],[SVm]],""),"")</f>
        <v/>
      </c>
      <c r="P243" s="370" t="str">
        <f ca="1">IF($B$3&lt;&gt;"Passive",IFERROR(IF(ISNUMBER(INDEX(Active[M_NOAEL], 4)),
                          INDEX(Active[M_NOAEL], 4)/O243,""),""),"")</f>
        <v/>
      </c>
      <c r="Q243" s="371" t="str">
        <f>IFERROR(IF(Active5=TRUE,HLOOKUP(Mammal_Chronic[[#This Row],[Crop]],Input_Scenario,15,FALSE)*HLOOKUP(Mammal_Chronic[[#This Row],[Crop]],Input_Scenario,8,FALSE)*Mammal_Chronic[[#This Row],[SVm]],""),"")</f>
        <v/>
      </c>
      <c r="R243" s="371" t="str">
        <f ca="1">IF($B$3&lt;&gt;"Passive",IFERROR(IF(ISNUMBER(INDEX(Active[M_NOAEL], 5)),
                          INDEX(Active[M_NOAEL], 5)/Q243,""),""),"")</f>
        <v/>
      </c>
    </row>
    <row r="244" spans="1:18">
      <c r="A244" s="56"/>
      <c r="B244" s="314" t="str">
        <f t="shared" ca="1" si="9"/>
        <v>No input</v>
      </c>
      <c r="C244" s="72" t="s">
        <v>187</v>
      </c>
      <c r="D244" s="73" t="s">
        <v>109</v>
      </c>
      <c r="E244" s="73" t="s">
        <v>273</v>
      </c>
      <c r="F244" s="113">
        <v>18.100000000000001</v>
      </c>
      <c r="G244" s="203" t="str">
        <f ca="1">IF(AND(Mammal_Chronic[[#This Row],[Relevance]]="Input provided", Count&gt;=1),
       IF(M_ChronicScheme="C(mix)",
                 HLOOKUP(Mammal_Chronic[[#This Row],[Crop]], Input_Scenario,10,FALSE)*Mammal_Chronic[[#This Row],[SVm]]*HLOOKUP(Mammal_Chronic[[#This Row],[Crop]],Input_Scenario,8,FALSE),""),"")</f>
        <v/>
      </c>
      <c r="H244" s="368" t="str">
        <f t="shared" si="10"/>
        <v/>
      </c>
      <c r="I244" s="370" t="str">
        <f>IFERROR(IF(Active1=TRUE,HLOOKUP(Mammal_Chronic[[#This Row],[Crop]],Input_Scenario,11,FALSE)*HLOOKUP(Mammal_Chronic[[#This Row],[Crop]],Input_Scenario,8,FALSE)*Mammal_Chronic[[#This Row],[SVm]],""),"")</f>
        <v/>
      </c>
      <c r="J244" s="370" t="str">
        <f t="shared" ca="1" si="11"/>
        <v/>
      </c>
      <c r="K244" s="370" t="str">
        <f>IFERROR(IF(Active2=TRUE,HLOOKUP(Mammal_Chronic[[#This Row],[Crop]],Input_Scenario,12,FALSE)*HLOOKUP(Mammal_Chronic[[#This Row],[Crop]],Input_Scenario,8,FALSE)*Mammal_Chronic[[#This Row],[SVm]],""),"")</f>
        <v/>
      </c>
      <c r="L244" s="370" t="str">
        <f ca="1">IF($B$3&lt;&gt;"Passive",IFERROR(IF(ISNUMBER(INDEX(Active[M_NOAEL], 2)),
                          INDEX(Active[M_NOAEL], 2)/K244,""),""),"")</f>
        <v/>
      </c>
      <c r="M244" s="370" t="str">
        <f>IFERROR(IF(Active3=TRUE,HLOOKUP(Mammal_Chronic[[#This Row],[Crop]],Input_Scenario,13,FALSE)*HLOOKUP(Mammal_Chronic[[#This Row],[Crop]],Input_Scenario,8,FALSE)*Mammal_Chronic[[#This Row],[SVm]],""),"")</f>
        <v/>
      </c>
      <c r="N244" s="370" t="str">
        <f ca="1">IF($B$3&lt;&gt;"Passive",IFERROR(IF(ISNUMBER(INDEX(Active[M_NOAEL], 3)),
                          INDEX(Active[M_NOAEL], 3)/M244,""),""),"")</f>
        <v/>
      </c>
      <c r="O244" s="370" t="str">
        <f>IFERROR(IF(Active4=TRUE,HLOOKUP(Mammal_Chronic[[#This Row],[Crop]],Input_Scenario,14,FALSE)*HLOOKUP(Mammal_Chronic[[#This Row],[Crop]],Input_Scenario,8,FALSE)*Mammal_Chronic[[#This Row],[SVm]],""),"")</f>
        <v/>
      </c>
      <c r="P244" s="370" t="str">
        <f ca="1">IF($B$3&lt;&gt;"Passive",IFERROR(IF(ISNUMBER(INDEX(Active[M_NOAEL], 4)),
                          INDEX(Active[M_NOAEL], 4)/O244,""),""),"")</f>
        <v/>
      </c>
      <c r="Q244" s="371" t="str">
        <f>IFERROR(IF(Active5=TRUE,HLOOKUP(Mammal_Chronic[[#This Row],[Crop]],Input_Scenario,15,FALSE)*HLOOKUP(Mammal_Chronic[[#This Row],[Crop]],Input_Scenario,8,FALSE)*Mammal_Chronic[[#This Row],[SVm]],""),"")</f>
        <v/>
      </c>
      <c r="R244" s="371" t="str">
        <f ca="1">IF($B$3&lt;&gt;"Passive",IFERROR(IF(ISNUMBER(INDEX(Active[M_NOAEL], 5)),
                          INDEX(Active[M_NOAEL], 5)/Q244,""),""),"")</f>
        <v/>
      </c>
    </row>
    <row r="245" spans="1:18">
      <c r="A245" s="56"/>
      <c r="B245" s="314" t="str">
        <f t="shared" ca="1" si="9"/>
        <v>No input</v>
      </c>
      <c r="C245" s="72" t="s">
        <v>187</v>
      </c>
      <c r="D245" s="73" t="s">
        <v>109</v>
      </c>
      <c r="E245" s="73" t="s">
        <v>275</v>
      </c>
      <c r="F245" s="113">
        <v>3.6</v>
      </c>
      <c r="G245" s="203" t="str">
        <f ca="1">IF(AND(Mammal_Chronic[[#This Row],[Relevance]]="Input provided", Count&gt;=1),
       IF(M_ChronicScheme="C(mix)",
                 HLOOKUP(Mammal_Chronic[[#This Row],[Crop]], Input_Scenario,10,FALSE)*Mammal_Chronic[[#This Row],[SVm]]*HLOOKUP(Mammal_Chronic[[#This Row],[Crop]],Input_Scenario,8,FALSE),""),"")</f>
        <v/>
      </c>
      <c r="H245" s="368" t="str">
        <f t="shared" si="10"/>
        <v/>
      </c>
      <c r="I245" s="370" t="str">
        <f>IFERROR(IF(Active1=TRUE,HLOOKUP(Mammal_Chronic[[#This Row],[Crop]],Input_Scenario,11,FALSE)*HLOOKUP(Mammal_Chronic[[#This Row],[Crop]],Input_Scenario,8,FALSE)*Mammal_Chronic[[#This Row],[SVm]],""),"")</f>
        <v/>
      </c>
      <c r="J245" s="370" t="str">
        <f t="shared" ca="1" si="11"/>
        <v/>
      </c>
      <c r="K245" s="370" t="str">
        <f>IFERROR(IF(Active2=TRUE,HLOOKUP(Mammal_Chronic[[#This Row],[Crop]],Input_Scenario,12,FALSE)*HLOOKUP(Mammal_Chronic[[#This Row],[Crop]],Input_Scenario,8,FALSE)*Mammal_Chronic[[#This Row],[SVm]],""),"")</f>
        <v/>
      </c>
      <c r="L245" s="370" t="str">
        <f ca="1">IF($B$3&lt;&gt;"Passive",IFERROR(IF(ISNUMBER(INDEX(Active[M_NOAEL], 2)),
                          INDEX(Active[M_NOAEL], 2)/K245,""),""),"")</f>
        <v/>
      </c>
      <c r="M245" s="370" t="str">
        <f>IFERROR(IF(Active3=TRUE,HLOOKUP(Mammal_Chronic[[#This Row],[Crop]],Input_Scenario,13,FALSE)*HLOOKUP(Mammal_Chronic[[#This Row],[Crop]],Input_Scenario,8,FALSE)*Mammal_Chronic[[#This Row],[SVm]],""),"")</f>
        <v/>
      </c>
      <c r="N245" s="370" t="str">
        <f ca="1">IF($B$3&lt;&gt;"Passive",IFERROR(IF(ISNUMBER(INDEX(Active[M_NOAEL], 3)),
                          INDEX(Active[M_NOAEL], 3)/M245,""),""),"")</f>
        <v/>
      </c>
      <c r="O245" s="370" t="str">
        <f>IFERROR(IF(Active4=TRUE,HLOOKUP(Mammal_Chronic[[#This Row],[Crop]],Input_Scenario,14,FALSE)*HLOOKUP(Mammal_Chronic[[#This Row],[Crop]],Input_Scenario,8,FALSE)*Mammal_Chronic[[#This Row],[SVm]],""),"")</f>
        <v/>
      </c>
      <c r="P245" s="370" t="str">
        <f ca="1">IF($B$3&lt;&gt;"Passive",IFERROR(IF(ISNUMBER(INDEX(Active[M_NOAEL], 4)),
                          INDEX(Active[M_NOAEL], 4)/O245,""),""),"")</f>
        <v/>
      </c>
      <c r="Q245" s="371" t="str">
        <f>IFERROR(IF(Active5=TRUE,HLOOKUP(Mammal_Chronic[[#This Row],[Crop]],Input_Scenario,15,FALSE)*HLOOKUP(Mammal_Chronic[[#This Row],[Crop]],Input_Scenario,8,FALSE)*Mammal_Chronic[[#This Row],[SVm]],""),"")</f>
        <v/>
      </c>
      <c r="R245" s="371" t="str">
        <f ca="1">IF($B$3&lt;&gt;"Passive",IFERROR(IF(ISNUMBER(INDEX(Active[M_NOAEL], 5)),
                          INDEX(Active[M_NOAEL], 5)/Q245,""),""),"")</f>
        <v/>
      </c>
    </row>
    <row r="246" spans="1:18">
      <c r="A246" s="56"/>
      <c r="B246" s="314" t="str">
        <f t="shared" ca="1" si="9"/>
        <v>No input</v>
      </c>
      <c r="C246" s="72" t="s">
        <v>187</v>
      </c>
      <c r="D246" s="73" t="s">
        <v>109</v>
      </c>
      <c r="E246" s="73" t="s">
        <v>271</v>
      </c>
      <c r="F246" s="113">
        <v>1.9</v>
      </c>
      <c r="G246" s="203" t="str">
        <f ca="1">IF(AND(Mammal_Chronic[[#This Row],[Relevance]]="Input provided", Count&gt;=1),
       IF(M_ChronicScheme="C(mix)",
                 HLOOKUP(Mammal_Chronic[[#This Row],[Crop]], Input_Scenario,10,FALSE)*Mammal_Chronic[[#This Row],[SVm]]*HLOOKUP(Mammal_Chronic[[#This Row],[Crop]],Input_Scenario,8,FALSE),""),"")</f>
        <v/>
      </c>
      <c r="H246" s="368" t="str">
        <f t="shared" si="10"/>
        <v/>
      </c>
      <c r="I246" s="370" t="str">
        <f>IFERROR(IF(Active1=TRUE,HLOOKUP(Mammal_Chronic[[#This Row],[Crop]],Input_Scenario,11,FALSE)*HLOOKUP(Mammal_Chronic[[#This Row],[Crop]],Input_Scenario,8,FALSE)*Mammal_Chronic[[#This Row],[SVm]],""),"")</f>
        <v/>
      </c>
      <c r="J246" s="370" t="str">
        <f t="shared" ca="1" si="11"/>
        <v/>
      </c>
      <c r="K246" s="370" t="str">
        <f>IFERROR(IF(Active2=TRUE,HLOOKUP(Mammal_Chronic[[#This Row],[Crop]],Input_Scenario,12,FALSE)*HLOOKUP(Mammal_Chronic[[#This Row],[Crop]],Input_Scenario,8,FALSE)*Mammal_Chronic[[#This Row],[SVm]],""),"")</f>
        <v/>
      </c>
      <c r="L246" s="370" t="str">
        <f ca="1">IF($B$3&lt;&gt;"Passive",IFERROR(IF(ISNUMBER(INDEX(Active[M_NOAEL], 2)),
                          INDEX(Active[M_NOAEL], 2)/K246,""),""),"")</f>
        <v/>
      </c>
      <c r="M246" s="370" t="str">
        <f>IFERROR(IF(Active3=TRUE,HLOOKUP(Mammal_Chronic[[#This Row],[Crop]],Input_Scenario,13,FALSE)*HLOOKUP(Mammal_Chronic[[#This Row],[Crop]],Input_Scenario,8,FALSE)*Mammal_Chronic[[#This Row],[SVm]],""),"")</f>
        <v/>
      </c>
      <c r="N246" s="370" t="str">
        <f ca="1">IF($B$3&lt;&gt;"Passive",IFERROR(IF(ISNUMBER(INDEX(Active[M_NOAEL], 3)),
                          INDEX(Active[M_NOAEL], 3)/M246,""),""),"")</f>
        <v/>
      </c>
      <c r="O246" s="370" t="str">
        <f>IFERROR(IF(Active4=TRUE,HLOOKUP(Mammal_Chronic[[#This Row],[Crop]],Input_Scenario,14,FALSE)*HLOOKUP(Mammal_Chronic[[#This Row],[Crop]],Input_Scenario,8,FALSE)*Mammal_Chronic[[#This Row],[SVm]],""),"")</f>
        <v/>
      </c>
      <c r="P246" s="370" t="str">
        <f ca="1">IF($B$3&lt;&gt;"Passive",IFERROR(IF(ISNUMBER(INDEX(Active[M_NOAEL], 4)),
                          INDEX(Active[M_NOAEL], 4)/O246,""),""),"")</f>
        <v/>
      </c>
      <c r="Q246" s="371" t="str">
        <f>IFERROR(IF(Active5=TRUE,HLOOKUP(Mammal_Chronic[[#This Row],[Crop]],Input_Scenario,15,FALSE)*HLOOKUP(Mammal_Chronic[[#This Row],[Crop]],Input_Scenario,8,FALSE)*Mammal_Chronic[[#This Row],[SVm]],""),"")</f>
        <v/>
      </c>
      <c r="R246" s="371" t="str">
        <f ca="1">IF($B$3&lt;&gt;"Passive",IFERROR(IF(ISNUMBER(INDEX(Active[M_NOAEL], 5)),
                          INDEX(Active[M_NOAEL], 5)/Q246,""),""),"")</f>
        <v/>
      </c>
    </row>
    <row r="247" spans="1:18">
      <c r="A247" s="56"/>
      <c r="B247" s="314" t="str">
        <f t="shared" ca="1" si="9"/>
        <v>No input</v>
      </c>
      <c r="C247" s="72" t="s">
        <v>191</v>
      </c>
      <c r="D247" s="73" t="s">
        <v>267</v>
      </c>
      <c r="E247" s="73" t="s">
        <v>273</v>
      </c>
      <c r="F247" s="113">
        <v>72.3</v>
      </c>
      <c r="G247" s="203" t="str">
        <f ca="1">IF(AND(Mammal_Chronic[[#This Row],[Relevance]]="Input provided", Count&gt;=1),
       IF(M_ChronicScheme="C(mix)",
                 HLOOKUP(Mammal_Chronic[[#This Row],[Crop]], Input_Scenario,10,FALSE)*Mammal_Chronic[[#This Row],[SVm]]*HLOOKUP(Mammal_Chronic[[#This Row],[Crop]],Input_Scenario,8,FALSE),""),"")</f>
        <v/>
      </c>
      <c r="H247" s="368" t="str">
        <f t="shared" si="10"/>
        <v/>
      </c>
      <c r="I247" s="370" t="str">
        <f>IFERROR(IF(Active1=TRUE,HLOOKUP(Mammal_Chronic[[#This Row],[Crop]],Input_Scenario,11,FALSE)*HLOOKUP(Mammal_Chronic[[#This Row],[Crop]],Input_Scenario,8,FALSE)*Mammal_Chronic[[#This Row],[SVm]],""),"")</f>
        <v/>
      </c>
      <c r="J247" s="370" t="str">
        <f t="shared" ca="1" si="11"/>
        <v/>
      </c>
      <c r="K247" s="370" t="str">
        <f>IFERROR(IF(Active2=TRUE,HLOOKUP(Mammal_Chronic[[#This Row],[Crop]],Input_Scenario,12,FALSE)*HLOOKUP(Mammal_Chronic[[#This Row],[Crop]],Input_Scenario,8,FALSE)*Mammal_Chronic[[#This Row],[SVm]],""),"")</f>
        <v/>
      </c>
      <c r="L247" s="370" t="str">
        <f ca="1">IF($B$3&lt;&gt;"Passive",IFERROR(IF(ISNUMBER(INDEX(Active[M_NOAEL], 2)),
                          INDEX(Active[M_NOAEL], 2)/K247,""),""),"")</f>
        <v/>
      </c>
      <c r="M247" s="370" t="str">
        <f>IFERROR(IF(Active3=TRUE,HLOOKUP(Mammal_Chronic[[#This Row],[Crop]],Input_Scenario,13,FALSE)*HLOOKUP(Mammal_Chronic[[#This Row],[Crop]],Input_Scenario,8,FALSE)*Mammal_Chronic[[#This Row],[SVm]],""),"")</f>
        <v/>
      </c>
      <c r="N247" s="370" t="str">
        <f ca="1">IF($B$3&lt;&gt;"Passive",IFERROR(IF(ISNUMBER(INDEX(Active[M_NOAEL], 3)),
                          INDEX(Active[M_NOAEL], 3)/M247,""),""),"")</f>
        <v/>
      </c>
      <c r="O247" s="370" t="str">
        <f>IFERROR(IF(Active4=TRUE,HLOOKUP(Mammal_Chronic[[#This Row],[Crop]],Input_Scenario,14,FALSE)*HLOOKUP(Mammal_Chronic[[#This Row],[Crop]],Input_Scenario,8,FALSE)*Mammal_Chronic[[#This Row],[SVm]],""),"")</f>
        <v/>
      </c>
      <c r="P247" s="370" t="str">
        <f ca="1">IF($B$3&lt;&gt;"Passive",IFERROR(IF(ISNUMBER(INDEX(Active[M_NOAEL], 4)),
                          INDEX(Active[M_NOAEL], 4)/O247,""),""),"")</f>
        <v/>
      </c>
      <c r="Q247" s="371" t="str">
        <f>IFERROR(IF(Active5=TRUE,HLOOKUP(Mammal_Chronic[[#This Row],[Crop]],Input_Scenario,15,FALSE)*HLOOKUP(Mammal_Chronic[[#This Row],[Crop]],Input_Scenario,8,FALSE)*Mammal_Chronic[[#This Row],[SVm]],""),"")</f>
        <v/>
      </c>
      <c r="R247" s="371" t="str">
        <f ca="1">IF($B$3&lt;&gt;"Passive",IFERROR(IF(ISNUMBER(INDEX(Active[M_NOAEL], 5)),
                          INDEX(Active[M_NOAEL], 5)/Q247,""),""),"")</f>
        <v/>
      </c>
    </row>
    <row r="248" spans="1:18">
      <c r="A248" s="56"/>
      <c r="B248" s="314" t="str">
        <f t="shared" ca="1" si="9"/>
        <v>No input</v>
      </c>
      <c r="C248" s="72" t="s">
        <v>191</v>
      </c>
      <c r="D248" s="73" t="s">
        <v>267</v>
      </c>
      <c r="E248" s="73" t="s">
        <v>271</v>
      </c>
      <c r="F248" s="113">
        <v>7.8</v>
      </c>
      <c r="G248" s="203" t="str">
        <f ca="1">IF(AND(Mammal_Chronic[[#This Row],[Relevance]]="Input provided", Count&gt;=1),
       IF(M_ChronicScheme="C(mix)",
                 HLOOKUP(Mammal_Chronic[[#This Row],[Crop]], Input_Scenario,10,FALSE)*Mammal_Chronic[[#This Row],[SVm]]*HLOOKUP(Mammal_Chronic[[#This Row],[Crop]],Input_Scenario,8,FALSE),""),"")</f>
        <v/>
      </c>
      <c r="H248" s="368" t="str">
        <f t="shared" si="10"/>
        <v/>
      </c>
      <c r="I248" s="370" t="str">
        <f>IFERROR(IF(Active1=TRUE,HLOOKUP(Mammal_Chronic[[#This Row],[Crop]],Input_Scenario,11,FALSE)*HLOOKUP(Mammal_Chronic[[#This Row],[Crop]],Input_Scenario,8,FALSE)*Mammal_Chronic[[#This Row],[SVm]],""),"")</f>
        <v/>
      </c>
      <c r="J248" s="370" t="str">
        <f t="shared" ca="1" si="11"/>
        <v/>
      </c>
      <c r="K248" s="370" t="str">
        <f>IFERROR(IF(Active2=TRUE,HLOOKUP(Mammal_Chronic[[#This Row],[Crop]],Input_Scenario,12,FALSE)*HLOOKUP(Mammal_Chronic[[#This Row],[Crop]],Input_Scenario,8,FALSE)*Mammal_Chronic[[#This Row],[SVm]],""),"")</f>
        <v/>
      </c>
      <c r="L248" s="370" t="str">
        <f ca="1">IF($B$3&lt;&gt;"Passive",IFERROR(IF(ISNUMBER(INDEX(Active[M_NOAEL], 2)),
                          INDEX(Active[M_NOAEL], 2)/K248,""),""),"")</f>
        <v/>
      </c>
      <c r="M248" s="370" t="str">
        <f>IFERROR(IF(Active3=TRUE,HLOOKUP(Mammal_Chronic[[#This Row],[Crop]],Input_Scenario,13,FALSE)*HLOOKUP(Mammal_Chronic[[#This Row],[Crop]],Input_Scenario,8,FALSE)*Mammal_Chronic[[#This Row],[SVm]],""),"")</f>
        <v/>
      </c>
      <c r="N248" s="370" t="str">
        <f ca="1">IF($B$3&lt;&gt;"Passive",IFERROR(IF(ISNUMBER(INDEX(Active[M_NOAEL], 3)),
                          INDEX(Active[M_NOAEL], 3)/M248,""),""),"")</f>
        <v/>
      </c>
      <c r="O248" s="370" t="str">
        <f>IFERROR(IF(Active4=TRUE,HLOOKUP(Mammal_Chronic[[#This Row],[Crop]],Input_Scenario,14,FALSE)*HLOOKUP(Mammal_Chronic[[#This Row],[Crop]],Input_Scenario,8,FALSE)*Mammal_Chronic[[#This Row],[SVm]],""),"")</f>
        <v/>
      </c>
      <c r="P248" s="370" t="str">
        <f ca="1">IF($B$3&lt;&gt;"Passive",IFERROR(IF(ISNUMBER(INDEX(Active[M_NOAEL], 4)),
                          INDEX(Active[M_NOAEL], 4)/O248,""),""),"")</f>
        <v/>
      </c>
      <c r="Q248" s="371" t="str">
        <f>IFERROR(IF(Active5=TRUE,HLOOKUP(Mammal_Chronic[[#This Row],[Crop]],Input_Scenario,15,FALSE)*HLOOKUP(Mammal_Chronic[[#This Row],[Crop]],Input_Scenario,8,FALSE)*Mammal_Chronic[[#This Row],[SVm]],""),"")</f>
        <v/>
      </c>
      <c r="R248" s="371" t="str">
        <f ca="1">IF($B$3&lt;&gt;"Passive",IFERROR(IF(ISNUMBER(INDEX(Active[M_NOAEL], 5)),
                          INDEX(Active[M_NOAEL], 5)/Q248,""),""),"")</f>
        <v/>
      </c>
    </row>
    <row r="249" spans="1:18">
      <c r="A249" s="56"/>
      <c r="B249" s="314" t="str">
        <f t="shared" ca="1" si="9"/>
        <v>No input</v>
      </c>
      <c r="C249" s="72" t="s">
        <v>191</v>
      </c>
      <c r="D249" s="73" t="s">
        <v>258</v>
      </c>
      <c r="E249" s="73" t="s">
        <v>273</v>
      </c>
      <c r="F249" s="113">
        <v>43.4</v>
      </c>
      <c r="G249" s="203" t="str">
        <f ca="1">IF(AND(Mammal_Chronic[[#This Row],[Relevance]]="Input provided", Count&gt;=1),
       IF(M_ChronicScheme="C(mix)",
                 HLOOKUP(Mammal_Chronic[[#This Row],[Crop]], Input_Scenario,10,FALSE)*Mammal_Chronic[[#This Row],[SVm]]*HLOOKUP(Mammal_Chronic[[#This Row],[Crop]],Input_Scenario,8,FALSE),""),"")</f>
        <v/>
      </c>
      <c r="H249" s="368" t="str">
        <f t="shared" si="10"/>
        <v/>
      </c>
      <c r="I249" s="370" t="str">
        <f>IFERROR(IF(Active1=TRUE,HLOOKUP(Mammal_Chronic[[#This Row],[Crop]],Input_Scenario,11,FALSE)*HLOOKUP(Mammal_Chronic[[#This Row],[Crop]],Input_Scenario,8,FALSE)*Mammal_Chronic[[#This Row],[SVm]],""),"")</f>
        <v/>
      </c>
      <c r="J249" s="370" t="str">
        <f t="shared" ca="1" si="11"/>
        <v/>
      </c>
      <c r="K249" s="370" t="str">
        <f>IFERROR(IF(Active2=TRUE,HLOOKUP(Mammal_Chronic[[#This Row],[Crop]],Input_Scenario,12,FALSE)*HLOOKUP(Mammal_Chronic[[#This Row],[Crop]],Input_Scenario,8,FALSE)*Mammal_Chronic[[#This Row],[SVm]],""),"")</f>
        <v/>
      </c>
      <c r="L249" s="370" t="str">
        <f ca="1">IF($B$3&lt;&gt;"Passive",IFERROR(IF(ISNUMBER(INDEX(Active[M_NOAEL], 2)),
                          INDEX(Active[M_NOAEL], 2)/K249,""),""),"")</f>
        <v/>
      </c>
      <c r="M249" s="370" t="str">
        <f>IFERROR(IF(Active3=TRUE,HLOOKUP(Mammal_Chronic[[#This Row],[Crop]],Input_Scenario,13,FALSE)*HLOOKUP(Mammal_Chronic[[#This Row],[Crop]],Input_Scenario,8,FALSE)*Mammal_Chronic[[#This Row],[SVm]],""),"")</f>
        <v/>
      </c>
      <c r="N249" s="370" t="str">
        <f ca="1">IF($B$3&lt;&gt;"Passive",IFERROR(IF(ISNUMBER(INDEX(Active[M_NOAEL], 3)),
                          INDEX(Active[M_NOAEL], 3)/M249,""),""),"")</f>
        <v/>
      </c>
      <c r="O249" s="370" t="str">
        <f>IFERROR(IF(Active4=TRUE,HLOOKUP(Mammal_Chronic[[#This Row],[Crop]],Input_Scenario,14,FALSE)*HLOOKUP(Mammal_Chronic[[#This Row],[Crop]],Input_Scenario,8,FALSE)*Mammal_Chronic[[#This Row],[SVm]],""),"")</f>
        <v/>
      </c>
      <c r="P249" s="370" t="str">
        <f ca="1">IF($B$3&lt;&gt;"Passive",IFERROR(IF(ISNUMBER(INDEX(Active[M_NOAEL], 4)),
                          INDEX(Active[M_NOAEL], 4)/O249,""),""),"")</f>
        <v/>
      </c>
      <c r="Q249" s="371" t="str">
        <f>IFERROR(IF(Active5=TRUE,HLOOKUP(Mammal_Chronic[[#This Row],[Crop]],Input_Scenario,15,FALSE)*HLOOKUP(Mammal_Chronic[[#This Row],[Crop]],Input_Scenario,8,FALSE)*Mammal_Chronic[[#This Row],[SVm]],""),"")</f>
        <v/>
      </c>
      <c r="R249" s="371" t="str">
        <f ca="1">IF($B$3&lt;&gt;"Passive",IFERROR(IF(ISNUMBER(INDEX(Active[M_NOAEL], 5)),
                          INDEX(Active[M_NOAEL], 5)/Q249,""),""),"")</f>
        <v/>
      </c>
    </row>
    <row r="250" spans="1:18">
      <c r="A250" s="56"/>
      <c r="B250" s="314" t="str">
        <f t="shared" ca="1" si="9"/>
        <v>No input</v>
      </c>
      <c r="C250" s="72" t="s">
        <v>191</v>
      </c>
      <c r="D250" s="73" t="s">
        <v>258</v>
      </c>
      <c r="E250" s="73" t="s">
        <v>271</v>
      </c>
      <c r="F250" s="113">
        <v>4.7</v>
      </c>
      <c r="G250" s="203" t="str">
        <f ca="1">IF(AND(Mammal_Chronic[[#This Row],[Relevance]]="Input provided", Count&gt;=1),
       IF(M_ChronicScheme="C(mix)",
                 HLOOKUP(Mammal_Chronic[[#This Row],[Crop]], Input_Scenario,10,FALSE)*Mammal_Chronic[[#This Row],[SVm]]*HLOOKUP(Mammal_Chronic[[#This Row],[Crop]],Input_Scenario,8,FALSE),""),"")</f>
        <v/>
      </c>
      <c r="H250" s="368" t="str">
        <f t="shared" si="10"/>
        <v/>
      </c>
      <c r="I250" s="370" t="str">
        <f>IFERROR(IF(Active1=TRUE,HLOOKUP(Mammal_Chronic[[#This Row],[Crop]],Input_Scenario,11,FALSE)*HLOOKUP(Mammal_Chronic[[#This Row],[Crop]],Input_Scenario,8,FALSE)*Mammal_Chronic[[#This Row],[SVm]],""),"")</f>
        <v/>
      </c>
      <c r="J250" s="370" t="str">
        <f t="shared" ca="1" si="11"/>
        <v/>
      </c>
      <c r="K250" s="370" t="str">
        <f>IFERROR(IF(Active2=TRUE,HLOOKUP(Mammal_Chronic[[#This Row],[Crop]],Input_Scenario,12,FALSE)*HLOOKUP(Mammal_Chronic[[#This Row],[Crop]],Input_Scenario,8,FALSE)*Mammal_Chronic[[#This Row],[SVm]],""),"")</f>
        <v/>
      </c>
      <c r="L250" s="370" t="str">
        <f ca="1">IF($B$3&lt;&gt;"Passive",IFERROR(IF(ISNUMBER(INDEX(Active[M_NOAEL], 2)),
                          INDEX(Active[M_NOAEL], 2)/K250,""),""),"")</f>
        <v/>
      </c>
      <c r="M250" s="370" t="str">
        <f>IFERROR(IF(Active3=TRUE,HLOOKUP(Mammal_Chronic[[#This Row],[Crop]],Input_Scenario,13,FALSE)*HLOOKUP(Mammal_Chronic[[#This Row],[Crop]],Input_Scenario,8,FALSE)*Mammal_Chronic[[#This Row],[SVm]],""),"")</f>
        <v/>
      </c>
      <c r="N250" s="370" t="str">
        <f ca="1">IF($B$3&lt;&gt;"Passive",IFERROR(IF(ISNUMBER(INDEX(Active[M_NOAEL], 3)),
                          INDEX(Active[M_NOAEL], 3)/M250,""),""),"")</f>
        <v/>
      </c>
      <c r="O250" s="370" t="str">
        <f>IFERROR(IF(Active4=TRUE,HLOOKUP(Mammal_Chronic[[#This Row],[Crop]],Input_Scenario,14,FALSE)*HLOOKUP(Mammal_Chronic[[#This Row],[Crop]],Input_Scenario,8,FALSE)*Mammal_Chronic[[#This Row],[SVm]],""),"")</f>
        <v/>
      </c>
      <c r="P250" s="370" t="str">
        <f ca="1">IF($B$3&lt;&gt;"Passive",IFERROR(IF(ISNUMBER(INDEX(Active[M_NOAEL], 4)),
                          INDEX(Active[M_NOAEL], 4)/O250,""),""),"")</f>
        <v/>
      </c>
      <c r="Q250" s="371" t="str">
        <f>IFERROR(IF(Active5=TRUE,HLOOKUP(Mammal_Chronic[[#This Row],[Crop]],Input_Scenario,15,FALSE)*HLOOKUP(Mammal_Chronic[[#This Row],[Crop]],Input_Scenario,8,FALSE)*Mammal_Chronic[[#This Row],[SVm]],""),"")</f>
        <v/>
      </c>
      <c r="R250" s="371" t="str">
        <f ca="1">IF($B$3&lt;&gt;"Passive",IFERROR(IF(ISNUMBER(INDEX(Active[M_NOAEL], 5)),
                          INDEX(Active[M_NOAEL], 5)/Q250,""),""),"")</f>
        <v/>
      </c>
    </row>
    <row r="251" spans="1:18">
      <c r="A251" s="56"/>
      <c r="B251" s="314" t="str">
        <f t="shared" ca="1" si="9"/>
        <v>No input</v>
      </c>
      <c r="C251" s="72" t="s">
        <v>191</v>
      </c>
      <c r="D251" s="73" t="s">
        <v>172</v>
      </c>
      <c r="E251" s="73" t="s">
        <v>273</v>
      </c>
      <c r="F251" s="113">
        <v>36.1</v>
      </c>
      <c r="G251" s="203" t="str">
        <f ca="1">IF(AND(Mammal_Chronic[[#This Row],[Relevance]]="Input provided", Count&gt;=1),
       IF(M_ChronicScheme="C(mix)",
                 HLOOKUP(Mammal_Chronic[[#This Row],[Crop]], Input_Scenario,10,FALSE)*Mammal_Chronic[[#This Row],[SVm]]*HLOOKUP(Mammal_Chronic[[#This Row],[Crop]],Input_Scenario,8,FALSE),""),"")</f>
        <v/>
      </c>
      <c r="H251" s="368" t="str">
        <f t="shared" si="10"/>
        <v/>
      </c>
      <c r="I251" s="370" t="str">
        <f>IFERROR(IF(Active1=TRUE,HLOOKUP(Mammal_Chronic[[#This Row],[Crop]],Input_Scenario,11,FALSE)*HLOOKUP(Mammal_Chronic[[#This Row],[Crop]],Input_Scenario,8,FALSE)*Mammal_Chronic[[#This Row],[SVm]],""),"")</f>
        <v/>
      </c>
      <c r="J251" s="370" t="str">
        <f t="shared" ca="1" si="11"/>
        <v/>
      </c>
      <c r="K251" s="370" t="str">
        <f>IFERROR(IF(Active2=TRUE,HLOOKUP(Mammal_Chronic[[#This Row],[Crop]],Input_Scenario,12,FALSE)*HLOOKUP(Mammal_Chronic[[#This Row],[Crop]],Input_Scenario,8,FALSE)*Mammal_Chronic[[#This Row],[SVm]],""),"")</f>
        <v/>
      </c>
      <c r="L251" s="370" t="str">
        <f ca="1">IF($B$3&lt;&gt;"Passive",IFERROR(IF(ISNUMBER(INDEX(Active[M_NOAEL], 2)),
                          INDEX(Active[M_NOAEL], 2)/K251,""),""),"")</f>
        <v/>
      </c>
      <c r="M251" s="370" t="str">
        <f>IFERROR(IF(Active3=TRUE,HLOOKUP(Mammal_Chronic[[#This Row],[Crop]],Input_Scenario,13,FALSE)*HLOOKUP(Mammal_Chronic[[#This Row],[Crop]],Input_Scenario,8,FALSE)*Mammal_Chronic[[#This Row],[SVm]],""),"")</f>
        <v/>
      </c>
      <c r="N251" s="370" t="str">
        <f ca="1">IF($B$3&lt;&gt;"Passive",IFERROR(IF(ISNUMBER(INDEX(Active[M_NOAEL], 3)),
                          INDEX(Active[M_NOAEL], 3)/M251,""),""),"")</f>
        <v/>
      </c>
      <c r="O251" s="370" t="str">
        <f>IFERROR(IF(Active4=TRUE,HLOOKUP(Mammal_Chronic[[#This Row],[Crop]],Input_Scenario,14,FALSE)*HLOOKUP(Mammal_Chronic[[#This Row],[Crop]],Input_Scenario,8,FALSE)*Mammal_Chronic[[#This Row],[SVm]],""),"")</f>
        <v/>
      </c>
      <c r="P251" s="370" t="str">
        <f ca="1">IF($B$3&lt;&gt;"Passive",IFERROR(IF(ISNUMBER(INDEX(Active[M_NOAEL], 4)),
                          INDEX(Active[M_NOAEL], 4)/O251,""),""),"")</f>
        <v/>
      </c>
      <c r="Q251" s="371" t="str">
        <f>IFERROR(IF(Active5=TRUE,HLOOKUP(Mammal_Chronic[[#This Row],[Crop]],Input_Scenario,15,FALSE)*HLOOKUP(Mammal_Chronic[[#This Row],[Crop]],Input_Scenario,8,FALSE)*Mammal_Chronic[[#This Row],[SVm]],""),"")</f>
        <v/>
      </c>
      <c r="R251" s="371" t="str">
        <f ca="1">IF($B$3&lt;&gt;"Passive",IFERROR(IF(ISNUMBER(INDEX(Active[M_NOAEL], 5)),
                          INDEX(Active[M_NOAEL], 5)/Q251,""),""),"")</f>
        <v/>
      </c>
    </row>
    <row r="252" spans="1:18">
      <c r="A252" s="56"/>
      <c r="B252" s="314" t="str">
        <f t="shared" ca="1" si="9"/>
        <v>No input</v>
      </c>
      <c r="C252" s="72" t="s">
        <v>191</v>
      </c>
      <c r="D252" s="73" t="s">
        <v>172</v>
      </c>
      <c r="E252" s="73" t="s">
        <v>271</v>
      </c>
      <c r="F252" s="113">
        <v>3.9</v>
      </c>
      <c r="G252" s="203" t="str">
        <f ca="1">IF(AND(Mammal_Chronic[[#This Row],[Relevance]]="Input provided", Count&gt;=1),
       IF(M_ChronicScheme="C(mix)",
                 HLOOKUP(Mammal_Chronic[[#This Row],[Crop]], Input_Scenario,10,FALSE)*Mammal_Chronic[[#This Row],[SVm]]*HLOOKUP(Mammal_Chronic[[#This Row],[Crop]],Input_Scenario,8,FALSE),""),"")</f>
        <v/>
      </c>
      <c r="H252" s="368" t="str">
        <f t="shared" si="10"/>
        <v/>
      </c>
      <c r="I252" s="370" t="str">
        <f>IFERROR(IF(Active1=TRUE,HLOOKUP(Mammal_Chronic[[#This Row],[Crop]],Input_Scenario,11,FALSE)*HLOOKUP(Mammal_Chronic[[#This Row],[Crop]],Input_Scenario,8,FALSE)*Mammal_Chronic[[#This Row],[SVm]],""),"")</f>
        <v/>
      </c>
      <c r="J252" s="370" t="str">
        <f t="shared" ca="1" si="11"/>
        <v/>
      </c>
      <c r="K252" s="370" t="str">
        <f>IFERROR(IF(Active2=TRUE,HLOOKUP(Mammal_Chronic[[#This Row],[Crop]],Input_Scenario,12,FALSE)*HLOOKUP(Mammal_Chronic[[#This Row],[Crop]],Input_Scenario,8,FALSE)*Mammal_Chronic[[#This Row],[SVm]],""),"")</f>
        <v/>
      </c>
      <c r="L252" s="370" t="str">
        <f ca="1">IF($B$3&lt;&gt;"Passive",IFERROR(IF(ISNUMBER(INDEX(Active[M_NOAEL], 2)),
                          INDEX(Active[M_NOAEL], 2)/K252,""),""),"")</f>
        <v/>
      </c>
      <c r="M252" s="370" t="str">
        <f>IFERROR(IF(Active3=TRUE,HLOOKUP(Mammal_Chronic[[#This Row],[Crop]],Input_Scenario,13,FALSE)*HLOOKUP(Mammal_Chronic[[#This Row],[Crop]],Input_Scenario,8,FALSE)*Mammal_Chronic[[#This Row],[SVm]],""),"")</f>
        <v/>
      </c>
      <c r="N252" s="370" t="str">
        <f ca="1">IF($B$3&lt;&gt;"Passive",IFERROR(IF(ISNUMBER(INDEX(Active[M_NOAEL], 3)),
                          INDEX(Active[M_NOAEL], 3)/M252,""),""),"")</f>
        <v/>
      </c>
      <c r="O252" s="370" t="str">
        <f>IFERROR(IF(Active4=TRUE,HLOOKUP(Mammal_Chronic[[#This Row],[Crop]],Input_Scenario,14,FALSE)*HLOOKUP(Mammal_Chronic[[#This Row],[Crop]],Input_Scenario,8,FALSE)*Mammal_Chronic[[#This Row],[SVm]],""),"")</f>
        <v/>
      </c>
      <c r="P252" s="370" t="str">
        <f ca="1">IF($B$3&lt;&gt;"Passive",IFERROR(IF(ISNUMBER(INDEX(Active[M_NOAEL], 4)),
                          INDEX(Active[M_NOAEL], 4)/O252,""),""),"")</f>
        <v/>
      </c>
      <c r="Q252" s="371" t="str">
        <f>IFERROR(IF(Active5=TRUE,HLOOKUP(Mammal_Chronic[[#This Row],[Crop]],Input_Scenario,15,FALSE)*HLOOKUP(Mammal_Chronic[[#This Row],[Crop]],Input_Scenario,8,FALSE)*Mammal_Chronic[[#This Row],[SVm]],""),"")</f>
        <v/>
      </c>
      <c r="R252" s="371" t="str">
        <f ca="1">IF($B$3&lt;&gt;"Passive",IFERROR(IF(ISNUMBER(INDEX(Active[M_NOAEL], 5)),
                          INDEX(Active[M_NOAEL], 5)/Q252,""),""),"")</f>
        <v/>
      </c>
    </row>
    <row r="253" spans="1:18">
      <c r="A253" s="56"/>
      <c r="B253" s="314" t="str">
        <f t="shared" ca="1" si="9"/>
        <v>No input</v>
      </c>
      <c r="C253" s="72" t="s">
        <v>191</v>
      </c>
      <c r="D253" s="73" t="s">
        <v>267</v>
      </c>
      <c r="E253" s="73" t="s">
        <v>275</v>
      </c>
      <c r="F253" s="113">
        <v>11.1</v>
      </c>
      <c r="G253" s="203" t="str">
        <f ca="1">IF(AND(Mammal_Chronic[[#This Row],[Relevance]]="Input provided", Count&gt;=1),
       IF(M_ChronicScheme="C(mix)",
                 HLOOKUP(Mammal_Chronic[[#This Row],[Crop]], Input_Scenario,10,FALSE)*Mammal_Chronic[[#This Row],[SVm]]*HLOOKUP(Mammal_Chronic[[#This Row],[Crop]],Input_Scenario,8,FALSE),""),"")</f>
        <v/>
      </c>
      <c r="H253" s="368" t="str">
        <f t="shared" si="10"/>
        <v/>
      </c>
      <c r="I253" s="370" t="str">
        <f>IFERROR(IF(Active1=TRUE,HLOOKUP(Mammal_Chronic[[#This Row],[Crop]],Input_Scenario,11,FALSE)*HLOOKUP(Mammal_Chronic[[#This Row],[Crop]],Input_Scenario,8,FALSE)*Mammal_Chronic[[#This Row],[SVm]],""),"")</f>
        <v/>
      </c>
      <c r="J253" s="370" t="str">
        <f t="shared" ca="1" si="11"/>
        <v/>
      </c>
      <c r="K253" s="370" t="str">
        <f>IFERROR(IF(Active2=TRUE,HLOOKUP(Mammal_Chronic[[#This Row],[Crop]],Input_Scenario,12,FALSE)*HLOOKUP(Mammal_Chronic[[#This Row],[Crop]],Input_Scenario,8,FALSE)*Mammal_Chronic[[#This Row],[SVm]],""),"")</f>
        <v/>
      </c>
      <c r="L253" s="370" t="str">
        <f ca="1">IF($B$3&lt;&gt;"Passive",IFERROR(IF(ISNUMBER(INDEX(Active[M_NOAEL], 2)),
                          INDEX(Active[M_NOAEL], 2)/K253,""),""),"")</f>
        <v/>
      </c>
      <c r="M253" s="370" t="str">
        <f>IFERROR(IF(Active3=TRUE,HLOOKUP(Mammal_Chronic[[#This Row],[Crop]],Input_Scenario,13,FALSE)*HLOOKUP(Mammal_Chronic[[#This Row],[Crop]],Input_Scenario,8,FALSE)*Mammal_Chronic[[#This Row],[SVm]],""),"")</f>
        <v/>
      </c>
      <c r="N253" s="370" t="str">
        <f ca="1">IF($B$3&lt;&gt;"Passive",IFERROR(IF(ISNUMBER(INDEX(Active[M_NOAEL], 3)),
                          INDEX(Active[M_NOAEL], 3)/M253,""),""),"")</f>
        <v/>
      </c>
      <c r="O253" s="370" t="str">
        <f>IFERROR(IF(Active4=TRUE,HLOOKUP(Mammal_Chronic[[#This Row],[Crop]],Input_Scenario,14,FALSE)*HLOOKUP(Mammal_Chronic[[#This Row],[Crop]],Input_Scenario,8,FALSE)*Mammal_Chronic[[#This Row],[SVm]],""),"")</f>
        <v/>
      </c>
      <c r="P253" s="370" t="str">
        <f ca="1">IF($B$3&lt;&gt;"Passive",IFERROR(IF(ISNUMBER(INDEX(Active[M_NOAEL], 4)),
                          INDEX(Active[M_NOAEL], 4)/O253,""),""),"")</f>
        <v/>
      </c>
      <c r="Q253" s="371" t="str">
        <f>IFERROR(IF(Active5=TRUE,HLOOKUP(Mammal_Chronic[[#This Row],[Crop]],Input_Scenario,15,FALSE)*HLOOKUP(Mammal_Chronic[[#This Row],[Crop]],Input_Scenario,8,FALSE)*Mammal_Chronic[[#This Row],[SVm]],""),"")</f>
        <v/>
      </c>
      <c r="R253" s="371" t="str">
        <f ca="1">IF($B$3&lt;&gt;"Passive",IFERROR(IF(ISNUMBER(INDEX(Active[M_NOAEL], 5)),
                          INDEX(Active[M_NOAEL], 5)/Q253,""),""),"")</f>
        <v/>
      </c>
    </row>
    <row r="254" spans="1:18">
      <c r="A254" s="56"/>
      <c r="B254" s="314" t="str">
        <f t="shared" ca="1" si="9"/>
        <v>No input</v>
      </c>
      <c r="C254" s="72" t="s">
        <v>191</v>
      </c>
      <c r="D254" s="73" t="s">
        <v>108</v>
      </c>
      <c r="E254" s="73" t="s">
        <v>275</v>
      </c>
      <c r="F254" s="113">
        <v>6.7</v>
      </c>
      <c r="G254" s="203" t="str">
        <f ca="1">IF(AND(Mammal_Chronic[[#This Row],[Relevance]]="Input provided", Count&gt;=1),
       IF(M_ChronicScheme="C(mix)",
                 HLOOKUP(Mammal_Chronic[[#This Row],[Crop]], Input_Scenario,10,FALSE)*Mammal_Chronic[[#This Row],[SVm]]*HLOOKUP(Mammal_Chronic[[#This Row],[Crop]],Input_Scenario,8,FALSE),""),"")</f>
        <v/>
      </c>
      <c r="H254" s="368" t="str">
        <f t="shared" si="10"/>
        <v/>
      </c>
      <c r="I254" s="370" t="str">
        <f>IFERROR(IF(Active1=TRUE,HLOOKUP(Mammal_Chronic[[#This Row],[Crop]],Input_Scenario,11,FALSE)*HLOOKUP(Mammal_Chronic[[#This Row],[Crop]],Input_Scenario,8,FALSE)*Mammal_Chronic[[#This Row],[SVm]],""),"")</f>
        <v/>
      </c>
      <c r="J254" s="370" t="str">
        <f t="shared" ca="1" si="11"/>
        <v/>
      </c>
      <c r="K254" s="370" t="str">
        <f>IFERROR(IF(Active2=TRUE,HLOOKUP(Mammal_Chronic[[#This Row],[Crop]],Input_Scenario,12,FALSE)*HLOOKUP(Mammal_Chronic[[#This Row],[Crop]],Input_Scenario,8,FALSE)*Mammal_Chronic[[#This Row],[SVm]],""),"")</f>
        <v/>
      </c>
      <c r="L254" s="370" t="str">
        <f ca="1">IF($B$3&lt;&gt;"Passive",IFERROR(IF(ISNUMBER(INDEX(Active[M_NOAEL], 2)),
                          INDEX(Active[M_NOAEL], 2)/K254,""),""),"")</f>
        <v/>
      </c>
      <c r="M254" s="370" t="str">
        <f>IFERROR(IF(Active3=TRUE,HLOOKUP(Mammal_Chronic[[#This Row],[Crop]],Input_Scenario,13,FALSE)*HLOOKUP(Mammal_Chronic[[#This Row],[Crop]],Input_Scenario,8,FALSE)*Mammal_Chronic[[#This Row],[SVm]],""),"")</f>
        <v/>
      </c>
      <c r="N254" s="370" t="str">
        <f ca="1">IF($B$3&lt;&gt;"Passive",IFERROR(IF(ISNUMBER(INDEX(Active[M_NOAEL], 3)),
                          INDEX(Active[M_NOAEL], 3)/M254,""),""),"")</f>
        <v/>
      </c>
      <c r="O254" s="370" t="str">
        <f>IFERROR(IF(Active4=TRUE,HLOOKUP(Mammal_Chronic[[#This Row],[Crop]],Input_Scenario,14,FALSE)*HLOOKUP(Mammal_Chronic[[#This Row],[Crop]],Input_Scenario,8,FALSE)*Mammal_Chronic[[#This Row],[SVm]],""),"")</f>
        <v/>
      </c>
      <c r="P254" s="370" t="str">
        <f ca="1">IF($B$3&lt;&gt;"Passive",IFERROR(IF(ISNUMBER(INDEX(Active[M_NOAEL], 4)),
                          INDEX(Active[M_NOAEL], 4)/O254,""),""),"")</f>
        <v/>
      </c>
      <c r="Q254" s="371" t="str">
        <f>IFERROR(IF(Active5=TRUE,HLOOKUP(Mammal_Chronic[[#This Row],[Crop]],Input_Scenario,15,FALSE)*HLOOKUP(Mammal_Chronic[[#This Row],[Crop]],Input_Scenario,8,FALSE)*Mammal_Chronic[[#This Row],[SVm]],""),"")</f>
        <v/>
      </c>
      <c r="R254" s="371" t="str">
        <f ca="1">IF($B$3&lt;&gt;"Passive",IFERROR(IF(ISNUMBER(INDEX(Active[M_NOAEL], 5)),
                          INDEX(Active[M_NOAEL], 5)/Q254,""),""),"")</f>
        <v/>
      </c>
    </row>
    <row r="255" spans="1:18">
      <c r="A255" s="56"/>
      <c r="B255" s="314" t="str">
        <f t="shared" ca="1" si="9"/>
        <v>No input</v>
      </c>
      <c r="C255" s="72" t="s">
        <v>191</v>
      </c>
      <c r="D255" s="73" t="s">
        <v>108</v>
      </c>
      <c r="E255" s="73" t="s">
        <v>272</v>
      </c>
      <c r="F255" s="113">
        <v>4.2</v>
      </c>
      <c r="G255" s="203" t="str">
        <f ca="1">IF(AND(Mammal_Chronic[[#This Row],[Relevance]]="Input provided", Count&gt;=1),
       IF(M_ChronicScheme="C(mix)",
                 HLOOKUP(Mammal_Chronic[[#This Row],[Crop]], Input_Scenario,10,FALSE)*Mammal_Chronic[[#This Row],[SVm]]*HLOOKUP(Mammal_Chronic[[#This Row],[Crop]],Input_Scenario,8,FALSE),""),"")</f>
        <v/>
      </c>
      <c r="H255" s="368" t="str">
        <f t="shared" si="10"/>
        <v/>
      </c>
      <c r="I255" s="370" t="str">
        <f>IFERROR(IF(Active1=TRUE,HLOOKUP(Mammal_Chronic[[#This Row],[Crop]],Input_Scenario,11,FALSE)*HLOOKUP(Mammal_Chronic[[#This Row],[Crop]],Input_Scenario,8,FALSE)*Mammal_Chronic[[#This Row],[SVm]],""),"")</f>
        <v/>
      </c>
      <c r="J255" s="370" t="str">
        <f t="shared" ca="1" si="11"/>
        <v/>
      </c>
      <c r="K255" s="370" t="str">
        <f>IFERROR(IF(Active2=TRUE,HLOOKUP(Mammal_Chronic[[#This Row],[Crop]],Input_Scenario,12,FALSE)*HLOOKUP(Mammal_Chronic[[#This Row],[Crop]],Input_Scenario,8,FALSE)*Mammal_Chronic[[#This Row],[SVm]],""),"")</f>
        <v/>
      </c>
      <c r="L255" s="370" t="str">
        <f ca="1">IF($B$3&lt;&gt;"Passive",IFERROR(IF(ISNUMBER(INDEX(Active[M_NOAEL], 2)),
                          INDEX(Active[M_NOAEL], 2)/K255,""),""),"")</f>
        <v/>
      </c>
      <c r="M255" s="370" t="str">
        <f>IFERROR(IF(Active3=TRUE,HLOOKUP(Mammal_Chronic[[#This Row],[Crop]],Input_Scenario,13,FALSE)*HLOOKUP(Mammal_Chronic[[#This Row],[Crop]],Input_Scenario,8,FALSE)*Mammal_Chronic[[#This Row],[SVm]],""),"")</f>
        <v/>
      </c>
      <c r="N255" s="370" t="str">
        <f ca="1">IF($B$3&lt;&gt;"Passive",IFERROR(IF(ISNUMBER(INDEX(Active[M_NOAEL], 3)),
                          INDEX(Active[M_NOAEL], 3)/M255,""),""),"")</f>
        <v/>
      </c>
      <c r="O255" s="370" t="str">
        <f>IFERROR(IF(Active4=TRUE,HLOOKUP(Mammal_Chronic[[#This Row],[Crop]],Input_Scenario,14,FALSE)*HLOOKUP(Mammal_Chronic[[#This Row],[Crop]],Input_Scenario,8,FALSE)*Mammal_Chronic[[#This Row],[SVm]],""),"")</f>
        <v/>
      </c>
      <c r="P255" s="370" t="str">
        <f ca="1">IF($B$3&lt;&gt;"Passive",IFERROR(IF(ISNUMBER(INDEX(Active[M_NOAEL], 4)),
                          INDEX(Active[M_NOAEL], 4)/O255,""),""),"")</f>
        <v/>
      </c>
      <c r="Q255" s="371" t="str">
        <f>IFERROR(IF(Active5=TRUE,HLOOKUP(Mammal_Chronic[[#This Row],[Crop]],Input_Scenario,15,FALSE)*HLOOKUP(Mammal_Chronic[[#This Row],[Crop]],Input_Scenario,8,FALSE)*Mammal_Chronic[[#This Row],[SVm]],""),"")</f>
        <v/>
      </c>
      <c r="R255" s="371" t="str">
        <f ca="1">IF($B$3&lt;&gt;"Passive",IFERROR(IF(ISNUMBER(INDEX(Active[M_NOAEL], 5)),
                          INDEX(Active[M_NOAEL], 5)/Q255,""),""),"")</f>
        <v/>
      </c>
    </row>
    <row r="256" spans="1:18">
      <c r="A256" s="56"/>
      <c r="B256" s="314" t="str">
        <f t="shared" ca="1" si="9"/>
        <v>No input</v>
      </c>
      <c r="C256" s="72" t="s">
        <v>191</v>
      </c>
      <c r="D256" s="73" t="s">
        <v>146</v>
      </c>
      <c r="E256" s="73" t="s">
        <v>275</v>
      </c>
      <c r="F256" s="113">
        <v>5.5</v>
      </c>
      <c r="G256" s="203" t="str">
        <f ca="1">IF(AND(Mammal_Chronic[[#This Row],[Relevance]]="Input provided", Count&gt;=1),
       IF(M_ChronicScheme="C(mix)",
                 HLOOKUP(Mammal_Chronic[[#This Row],[Crop]], Input_Scenario,10,FALSE)*Mammal_Chronic[[#This Row],[SVm]]*HLOOKUP(Mammal_Chronic[[#This Row],[Crop]],Input_Scenario,8,FALSE),""),"")</f>
        <v/>
      </c>
      <c r="H256" s="368" t="str">
        <f t="shared" si="10"/>
        <v/>
      </c>
      <c r="I256" s="370" t="str">
        <f>IFERROR(IF(Active1=TRUE,HLOOKUP(Mammal_Chronic[[#This Row],[Crop]],Input_Scenario,11,FALSE)*HLOOKUP(Mammal_Chronic[[#This Row],[Crop]],Input_Scenario,8,FALSE)*Mammal_Chronic[[#This Row],[SVm]],""),"")</f>
        <v/>
      </c>
      <c r="J256" s="370" t="str">
        <f t="shared" ca="1" si="11"/>
        <v/>
      </c>
      <c r="K256" s="370" t="str">
        <f>IFERROR(IF(Active2=TRUE,HLOOKUP(Mammal_Chronic[[#This Row],[Crop]],Input_Scenario,12,FALSE)*HLOOKUP(Mammal_Chronic[[#This Row],[Crop]],Input_Scenario,8,FALSE)*Mammal_Chronic[[#This Row],[SVm]],""),"")</f>
        <v/>
      </c>
      <c r="L256" s="370" t="str">
        <f ca="1">IF($B$3&lt;&gt;"Passive",IFERROR(IF(ISNUMBER(INDEX(Active[M_NOAEL], 2)),
                          INDEX(Active[M_NOAEL], 2)/K256,""),""),"")</f>
        <v/>
      </c>
      <c r="M256" s="370" t="str">
        <f>IFERROR(IF(Active3=TRUE,HLOOKUP(Mammal_Chronic[[#This Row],[Crop]],Input_Scenario,13,FALSE)*HLOOKUP(Mammal_Chronic[[#This Row],[Crop]],Input_Scenario,8,FALSE)*Mammal_Chronic[[#This Row],[SVm]],""),"")</f>
        <v/>
      </c>
      <c r="N256" s="370" t="str">
        <f ca="1">IF($B$3&lt;&gt;"Passive",IFERROR(IF(ISNUMBER(INDEX(Active[M_NOAEL], 3)),
                          INDEX(Active[M_NOAEL], 3)/M256,""),""),"")</f>
        <v/>
      </c>
      <c r="O256" s="370" t="str">
        <f>IFERROR(IF(Active4=TRUE,HLOOKUP(Mammal_Chronic[[#This Row],[Crop]],Input_Scenario,14,FALSE)*HLOOKUP(Mammal_Chronic[[#This Row],[Crop]],Input_Scenario,8,FALSE)*Mammal_Chronic[[#This Row],[SVm]],""),"")</f>
        <v/>
      </c>
      <c r="P256" s="370" t="str">
        <f ca="1">IF($B$3&lt;&gt;"Passive",IFERROR(IF(ISNUMBER(INDEX(Active[M_NOAEL], 4)),
                          INDEX(Active[M_NOAEL], 4)/O256,""),""),"")</f>
        <v/>
      </c>
      <c r="Q256" s="371" t="str">
        <f>IFERROR(IF(Active5=TRUE,HLOOKUP(Mammal_Chronic[[#This Row],[Crop]],Input_Scenario,15,FALSE)*HLOOKUP(Mammal_Chronic[[#This Row],[Crop]],Input_Scenario,8,FALSE)*Mammal_Chronic[[#This Row],[SVm]],""),"")</f>
        <v/>
      </c>
      <c r="R256" s="371" t="str">
        <f ca="1">IF($B$3&lt;&gt;"Passive",IFERROR(IF(ISNUMBER(INDEX(Active[M_NOAEL], 5)),
                          INDEX(Active[M_NOAEL], 5)/Q256,""),""),"")</f>
        <v/>
      </c>
    </row>
    <row r="257" spans="1:18">
      <c r="A257" s="56"/>
      <c r="B257" s="314" t="str">
        <f t="shared" ca="1" si="9"/>
        <v>No input</v>
      </c>
      <c r="C257" s="72" t="s">
        <v>191</v>
      </c>
      <c r="D257" s="73" t="s">
        <v>111</v>
      </c>
      <c r="E257" s="73" t="s">
        <v>272</v>
      </c>
      <c r="F257" s="113">
        <v>1.9</v>
      </c>
      <c r="G257" s="203" t="str">
        <f ca="1">IF(AND(Mammal_Chronic[[#This Row],[Relevance]]="Input provided", Count&gt;=1),
       IF(M_ChronicScheme="C(mix)",
                 HLOOKUP(Mammal_Chronic[[#This Row],[Crop]], Input_Scenario,10,FALSE)*Mammal_Chronic[[#This Row],[SVm]]*HLOOKUP(Mammal_Chronic[[#This Row],[Crop]],Input_Scenario,8,FALSE),""),"")</f>
        <v/>
      </c>
      <c r="H257" s="368" t="str">
        <f t="shared" si="10"/>
        <v/>
      </c>
      <c r="I257" s="370" t="str">
        <f>IFERROR(IF(Active1=TRUE,HLOOKUP(Mammal_Chronic[[#This Row],[Crop]],Input_Scenario,11,FALSE)*HLOOKUP(Mammal_Chronic[[#This Row],[Crop]],Input_Scenario,8,FALSE)*Mammal_Chronic[[#This Row],[SVm]],""),"")</f>
        <v/>
      </c>
      <c r="J257" s="370" t="str">
        <f t="shared" ca="1" si="11"/>
        <v/>
      </c>
      <c r="K257" s="370" t="str">
        <f>IFERROR(IF(Active2=TRUE,HLOOKUP(Mammal_Chronic[[#This Row],[Crop]],Input_Scenario,12,FALSE)*HLOOKUP(Mammal_Chronic[[#This Row],[Crop]],Input_Scenario,8,FALSE)*Mammal_Chronic[[#This Row],[SVm]],""),"")</f>
        <v/>
      </c>
      <c r="L257" s="370" t="str">
        <f ca="1">IF($B$3&lt;&gt;"Passive",IFERROR(IF(ISNUMBER(INDEX(Active[M_NOAEL], 2)),
                          INDEX(Active[M_NOAEL], 2)/K257,""),""),"")</f>
        <v/>
      </c>
      <c r="M257" s="370" t="str">
        <f>IFERROR(IF(Active3=TRUE,HLOOKUP(Mammal_Chronic[[#This Row],[Crop]],Input_Scenario,13,FALSE)*HLOOKUP(Mammal_Chronic[[#This Row],[Crop]],Input_Scenario,8,FALSE)*Mammal_Chronic[[#This Row],[SVm]],""),"")</f>
        <v/>
      </c>
      <c r="N257" s="370" t="str">
        <f ca="1">IF($B$3&lt;&gt;"Passive",IFERROR(IF(ISNUMBER(INDEX(Active[M_NOAEL], 3)),
                          INDEX(Active[M_NOAEL], 3)/M257,""),""),"")</f>
        <v/>
      </c>
      <c r="O257" s="370" t="str">
        <f>IFERROR(IF(Active4=TRUE,HLOOKUP(Mammal_Chronic[[#This Row],[Crop]],Input_Scenario,14,FALSE)*HLOOKUP(Mammal_Chronic[[#This Row],[Crop]],Input_Scenario,8,FALSE)*Mammal_Chronic[[#This Row],[SVm]],""),"")</f>
        <v/>
      </c>
      <c r="P257" s="370" t="str">
        <f ca="1">IF($B$3&lt;&gt;"Passive",IFERROR(IF(ISNUMBER(INDEX(Active[M_NOAEL], 4)),
                          INDEX(Active[M_NOAEL], 4)/O257,""),""),"")</f>
        <v/>
      </c>
      <c r="Q257" s="371" t="str">
        <f>IFERROR(IF(Active5=TRUE,HLOOKUP(Mammal_Chronic[[#This Row],[Crop]],Input_Scenario,15,FALSE)*HLOOKUP(Mammal_Chronic[[#This Row],[Crop]],Input_Scenario,8,FALSE)*Mammal_Chronic[[#This Row],[SVm]],""),"")</f>
        <v/>
      </c>
      <c r="R257" s="371" t="str">
        <f ca="1">IF($B$3&lt;&gt;"Passive",IFERROR(IF(ISNUMBER(INDEX(Active[M_NOAEL], 5)),
                          INDEX(Active[M_NOAEL], 5)/Q257,""),""),"")</f>
        <v/>
      </c>
    </row>
    <row r="258" spans="1:18">
      <c r="A258" s="56"/>
      <c r="B258" s="314" t="str">
        <f t="shared" ca="1" si="9"/>
        <v>No input</v>
      </c>
      <c r="C258" s="72" t="s">
        <v>191</v>
      </c>
      <c r="D258" s="73" t="s">
        <v>109</v>
      </c>
      <c r="E258" s="73" t="s">
        <v>275</v>
      </c>
      <c r="F258" s="113">
        <v>3.3</v>
      </c>
      <c r="G258" s="203" t="str">
        <f ca="1">IF(AND(Mammal_Chronic[[#This Row],[Relevance]]="Input provided", Count&gt;=1),
       IF(M_ChronicScheme="C(mix)",
                 HLOOKUP(Mammal_Chronic[[#This Row],[Crop]], Input_Scenario,10,FALSE)*Mammal_Chronic[[#This Row],[SVm]]*HLOOKUP(Mammal_Chronic[[#This Row],[Crop]],Input_Scenario,8,FALSE),""),"")</f>
        <v/>
      </c>
      <c r="H258" s="368" t="str">
        <f t="shared" si="10"/>
        <v/>
      </c>
      <c r="I258" s="370" t="str">
        <f>IFERROR(IF(Active1=TRUE,HLOOKUP(Mammal_Chronic[[#This Row],[Crop]],Input_Scenario,11,FALSE)*HLOOKUP(Mammal_Chronic[[#This Row],[Crop]],Input_Scenario,8,FALSE)*Mammal_Chronic[[#This Row],[SVm]],""),"")</f>
        <v/>
      </c>
      <c r="J258" s="370" t="str">
        <f t="shared" ca="1" si="11"/>
        <v/>
      </c>
      <c r="K258" s="370" t="str">
        <f>IFERROR(IF(Active2=TRUE,HLOOKUP(Mammal_Chronic[[#This Row],[Crop]],Input_Scenario,12,FALSE)*HLOOKUP(Mammal_Chronic[[#This Row],[Crop]],Input_Scenario,8,FALSE)*Mammal_Chronic[[#This Row],[SVm]],""),"")</f>
        <v/>
      </c>
      <c r="L258" s="370" t="str">
        <f ca="1">IF($B$3&lt;&gt;"Passive",IFERROR(IF(ISNUMBER(INDEX(Active[M_NOAEL], 2)),
                          INDEX(Active[M_NOAEL], 2)/K258,""),""),"")</f>
        <v/>
      </c>
      <c r="M258" s="370" t="str">
        <f>IFERROR(IF(Active3=TRUE,HLOOKUP(Mammal_Chronic[[#This Row],[Crop]],Input_Scenario,13,FALSE)*HLOOKUP(Mammal_Chronic[[#This Row],[Crop]],Input_Scenario,8,FALSE)*Mammal_Chronic[[#This Row],[SVm]],""),"")</f>
        <v/>
      </c>
      <c r="N258" s="370" t="str">
        <f ca="1">IF($B$3&lt;&gt;"Passive",IFERROR(IF(ISNUMBER(INDEX(Active[M_NOAEL], 3)),
                          INDEX(Active[M_NOAEL], 3)/M258,""),""),"")</f>
        <v/>
      </c>
      <c r="O258" s="370" t="str">
        <f>IFERROR(IF(Active4=TRUE,HLOOKUP(Mammal_Chronic[[#This Row],[Crop]],Input_Scenario,14,FALSE)*HLOOKUP(Mammal_Chronic[[#This Row],[Crop]],Input_Scenario,8,FALSE)*Mammal_Chronic[[#This Row],[SVm]],""),"")</f>
        <v/>
      </c>
      <c r="P258" s="370" t="str">
        <f ca="1">IF($B$3&lt;&gt;"Passive",IFERROR(IF(ISNUMBER(INDEX(Active[M_NOAEL], 4)),
                          INDEX(Active[M_NOAEL], 4)/O258,""),""),"")</f>
        <v/>
      </c>
      <c r="Q258" s="371" t="str">
        <f>IFERROR(IF(Active5=TRUE,HLOOKUP(Mammal_Chronic[[#This Row],[Crop]],Input_Scenario,15,FALSE)*HLOOKUP(Mammal_Chronic[[#This Row],[Crop]],Input_Scenario,8,FALSE)*Mammal_Chronic[[#This Row],[SVm]],""),"")</f>
        <v/>
      </c>
      <c r="R258" s="371" t="str">
        <f ca="1">IF($B$3&lt;&gt;"Passive",IFERROR(IF(ISNUMBER(INDEX(Active[M_NOAEL], 5)),
                          INDEX(Active[M_NOAEL], 5)/Q258,""),""),"")</f>
        <v/>
      </c>
    </row>
    <row r="259" spans="1:18">
      <c r="A259" s="56"/>
      <c r="B259" s="314" t="str">
        <f t="shared" ca="1" si="9"/>
        <v>No input</v>
      </c>
      <c r="C259" s="72" t="s">
        <v>191</v>
      </c>
      <c r="D259" s="73" t="s">
        <v>173</v>
      </c>
      <c r="E259" s="73" t="s">
        <v>273</v>
      </c>
      <c r="F259" s="113">
        <v>21.7</v>
      </c>
      <c r="G259" s="203" t="str">
        <f ca="1">IF(AND(Mammal_Chronic[[#This Row],[Relevance]]="Input provided", Count&gt;=1),
       IF(M_ChronicScheme="C(mix)",
                 HLOOKUP(Mammal_Chronic[[#This Row],[Crop]], Input_Scenario,10,FALSE)*Mammal_Chronic[[#This Row],[SVm]]*HLOOKUP(Mammal_Chronic[[#This Row],[Crop]],Input_Scenario,8,FALSE),""),"")</f>
        <v/>
      </c>
      <c r="H259" s="368" t="str">
        <f t="shared" si="10"/>
        <v/>
      </c>
      <c r="I259" s="370" t="str">
        <f>IFERROR(IF(Active1=TRUE,HLOOKUP(Mammal_Chronic[[#This Row],[Crop]],Input_Scenario,11,FALSE)*HLOOKUP(Mammal_Chronic[[#This Row],[Crop]],Input_Scenario,8,FALSE)*Mammal_Chronic[[#This Row],[SVm]],""),"")</f>
        <v/>
      </c>
      <c r="J259" s="370" t="str">
        <f t="shared" ca="1" si="11"/>
        <v/>
      </c>
      <c r="K259" s="370" t="str">
        <f>IFERROR(IF(Active2=TRUE,HLOOKUP(Mammal_Chronic[[#This Row],[Crop]],Input_Scenario,12,FALSE)*HLOOKUP(Mammal_Chronic[[#This Row],[Crop]],Input_Scenario,8,FALSE)*Mammal_Chronic[[#This Row],[SVm]],""),"")</f>
        <v/>
      </c>
      <c r="L259" s="370" t="str">
        <f ca="1">IF($B$3&lt;&gt;"Passive",IFERROR(IF(ISNUMBER(INDEX(Active[M_NOAEL], 2)),
                          INDEX(Active[M_NOAEL], 2)/K259,""),""),"")</f>
        <v/>
      </c>
      <c r="M259" s="370" t="str">
        <f>IFERROR(IF(Active3=TRUE,HLOOKUP(Mammal_Chronic[[#This Row],[Crop]],Input_Scenario,13,FALSE)*HLOOKUP(Mammal_Chronic[[#This Row],[Crop]],Input_Scenario,8,FALSE)*Mammal_Chronic[[#This Row],[SVm]],""),"")</f>
        <v/>
      </c>
      <c r="N259" s="370" t="str">
        <f ca="1">IF($B$3&lt;&gt;"Passive",IFERROR(IF(ISNUMBER(INDEX(Active[M_NOAEL], 3)),
                          INDEX(Active[M_NOAEL], 3)/M259,""),""),"")</f>
        <v/>
      </c>
      <c r="O259" s="370" t="str">
        <f>IFERROR(IF(Active4=TRUE,HLOOKUP(Mammal_Chronic[[#This Row],[Crop]],Input_Scenario,14,FALSE)*HLOOKUP(Mammal_Chronic[[#This Row],[Crop]],Input_Scenario,8,FALSE)*Mammal_Chronic[[#This Row],[SVm]],""),"")</f>
        <v/>
      </c>
      <c r="P259" s="370" t="str">
        <f ca="1">IF($B$3&lt;&gt;"Passive",IFERROR(IF(ISNUMBER(INDEX(Active[M_NOAEL], 4)),
                          INDEX(Active[M_NOAEL], 4)/O259,""),""),"")</f>
        <v/>
      </c>
      <c r="Q259" s="371" t="str">
        <f>IFERROR(IF(Active5=TRUE,HLOOKUP(Mammal_Chronic[[#This Row],[Crop]],Input_Scenario,15,FALSE)*HLOOKUP(Mammal_Chronic[[#This Row],[Crop]],Input_Scenario,8,FALSE)*Mammal_Chronic[[#This Row],[SVm]],""),"")</f>
        <v/>
      </c>
      <c r="R259" s="371" t="str">
        <f ca="1">IF($B$3&lt;&gt;"Passive",IFERROR(IF(ISNUMBER(INDEX(Active[M_NOAEL], 5)),
                          INDEX(Active[M_NOAEL], 5)/Q259,""),""),"")</f>
        <v/>
      </c>
    </row>
    <row r="260" spans="1:18">
      <c r="A260" s="56"/>
      <c r="B260" s="314" t="str">
        <f t="shared" ca="1" si="9"/>
        <v>No input</v>
      </c>
      <c r="C260" s="72" t="s">
        <v>191</v>
      </c>
      <c r="D260" s="73" t="s">
        <v>173</v>
      </c>
      <c r="E260" s="73" t="s">
        <v>271</v>
      </c>
      <c r="F260" s="113">
        <v>2.2999999999999998</v>
      </c>
      <c r="G260" s="203" t="str">
        <f ca="1">IF(AND(Mammal_Chronic[[#This Row],[Relevance]]="Input provided", Count&gt;=1),
       IF(M_ChronicScheme="C(mix)",
                 HLOOKUP(Mammal_Chronic[[#This Row],[Crop]], Input_Scenario,10,FALSE)*Mammal_Chronic[[#This Row],[SVm]]*HLOOKUP(Mammal_Chronic[[#This Row],[Crop]],Input_Scenario,8,FALSE),""),"")</f>
        <v/>
      </c>
      <c r="H260" s="368" t="str">
        <f t="shared" si="10"/>
        <v/>
      </c>
      <c r="I260" s="370" t="str">
        <f>IFERROR(IF(Active1=TRUE,HLOOKUP(Mammal_Chronic[[#This Row],[Crop]],Input_Scenario,11,FALSE)*HLOOKUP(Mammal_Chronic[[#This Row],[Crop]],Input_Scenario,8,FALSE)*Mammal_Chronic[[#This Row],[SVm]],""),"")</f>
        <v/>
      </c>
      <c r="J260" s="370" t="str">
        <f t="shared" ca="1" si="11"/>
        <v/>
      </c>
      <c r="K260" s="370" t="str">
        <f>IFERROR(IF(Active2=TRUE,HLOOKUP(Mammal_Chronic[[#This Row],[Crop]],Input_Scenario,12,FALSE)*HLOOKUP(Mammal_Chronic[[#This Row],[Crop]],Input_Scenario,8,FALSE)*Mammal_Chronic[[#This Row],[SVm]],""),"")</f>
        <v/>
      </c>
      <c r="L260" s="370" t="str">
        <f ca="1">IF($B$3&lt;&gt;"Passive",IFERROR(IF(ISNUMBER(INDEX(Active[M_NOAEL], 2)),
                          INDEX(Active[M_NOAEL], 2)/K260,""),""),"")</f>
        <v/>
      </c>
      <c r="M260" s="370" t="str">
        <f>IFERROR(IF(Active3=TRUE,HLOOKUP(Mammal_Chronic[[#This Row],[Crop]],Input_Scenario,13,FALSE)*HLOOKUP(Mammal_Chronic[[#This Row],[Crop]],Input_Scenario,8,FALSE)*Mammal_Chronic[[#This Row],[SVm]],""),"")</f>
        <v/>
      </c>
      <c r="N260" s="370" t="str">
        <f ca="1">IF($B$3&lt;&gt;"Passive",IFERROR(IF(ISNUMBER(INDEX(Active[M_NOAEL], 3)),
                          INDEX(Active[M_NOAEL], 3)/M260,""),""),"")</f>
        <v/>
      </c>
      <c r="O260" s="370" t="str">
        <f>IFERROR(IF(Active4=TRUE,HLOOKUP(Mammal_Chronic[[#This Row],[Crop]],Input_Scenario,14,FALSE)*HLOOKUP(Mammal_Chronic[[#This Row],[Crop]],Input_Scenario,8,FALSE)*Mammal_Chronic[[#This Row],[SVm]],""),"")</f>
        <v/>
      </c>
      <c r="P260" s="370" t="str">
        <f ca="1">IF($B$3&lt;&gt;"Passive",IFERROR(IF(ISNUMBER(INDEX(Active[M_NOAEL], 4)),
                          INDEX(Active[M_NOAEL], 4)/O260,""),""),"")</f>
        <v/>
      </c>
      <c r="Q260" s="371" t="str">
        <f>IFERROR(IF(Active5=TRUE,HLOOKUP(Mammal_Chronic[[#This Row],[Crop]],Input_Scenario,15,FALSE)*HLOOKUP(Mammal_Chronic[[#This Row],[Crop]],Input_Scenario,8,FALSE)*Mammal_Chronic[[#This Row],[SVm]],""),"")</f>
        <v/>
      </c>
      <c r="R260" s="371" t="str">
        <f ca="1">IF($B$3&lt;&gt;"Passive",IFERROR(IF(ISNUMBER(INDEX(Active[M_NOAEL], 5)),
                          INDEX(Active[M_NOAEL], 5)/Q260,""),""),"")</f>
        <v/>
      </c>
    </row>
    <row r="261" spans="1:18">
      <c r="C261" s="58"/>
      <c r="D261" s="58"/>
      <c r="E261" s="58"/>
      <c r="F261" s="58"/>
      <c r="G261" s="58"/>
      <c r="H261" s="58"/>
    </row>
    <row r="262" spans="1:18">
      <c r="C262" s="91" t="s">
        <v>281</v>
      </c>
      <c r="D262" s="5"/>
      <c r="E262" s="5"/>
      <c r="F262" s="5"/>
      <c r="G262" s="5"/>
      <c r="H262" s="5"/>
      <c r="I262" s="5"/>
    </row>
    <row r="263" spans="1:18" ht="15" customHeight="1">
      <c r="I263" s="57"/>
    </row>
    <row r="264" spans="1:18">
      <c r="I264" s="57"/>
    </row>
    <row r="265" spans="1:18">
      <c r="I265" s="57"/>
    </row>
    <row r="266" spans="1:18">
      <c r="I266" s="57"/>
    </row>
    <row r="267" spans="1:18">
      <c r="I267" s="57"/>
    </row>
    <row r="268" spans="1:18">
      <c r="I268" s="57"/>
    </row>
    <row r="269" spans="1:18">
      <c r="I269" s="57"/>
    </row>
    <row r="270" spans="1:18">
      <c r="I270" s="57"/>
    </row>
    <row r="271" spans="1:18">
      <c r="C271" s="112"/>
      <c r="D271" s="5"/>
      <c r="E271" s="5"/>
      <c r="F271" s="5"/>
      <c r="G271" s="5"/>
      <c r="H271" s="5"/>
      <c r="I271" s="5"/>
    </row>
    <row r="275" spans="3:11">
      <c r="C275" s="458" t="s">
        <v>197</v>
      </c>
      <c r="D275" s="458"/>
      <c r="E275" s="458"/>
      <c r="F275" s="458"/>
      <c r="G275" s="458"/>
      <c r="H275" s="458"/>
      <c r="I275" s="458"/>
      <c r="J275" s="458"/>
      <c r="K275" s="458"/>
    </row>
    <row r="276" spans="3:11">
      <c r="C276" s="458"/>
      <c r="D276" s="458"/>
      <c r="E276" s="458"/>
      <c r="F276" s="458"/>
      <c r="G276" s="458"/>
      <c r="H276" s="458"/>
      <c r="I276" s="458"/>
      <c r="J276" s="458"/>
      <c r="K276" s="458"/>
    </row>
    <row r="277" spans="3:11">
      <c r="C277" s="332" t="s">
        <v>198</v>
      </c>
      <c r="D277" s="5"/>
      <c r="E277" s="5"/>
      <c r="F277" s="5"/>
      <c r="G277" s="5"/>
      <c r="H277" s="5"/>
      <c r="I277" s="5"/>
    </row>
  </sheetData>
  <sheetProtection algorithmName="SHA-512" hashValue="ViMO8cRruF5o28/Z3B0gaZsIIhVvt6sExfTJzirmLakxcGaWvis1EQ2oZ0ttGS7GOGOykLdEF5mL4GeFim0z/w==" saltValue="MeM86VT96Z5EVNrvswd8DQ==" spinCount="100000" sheet="1" objects="1" scenarios="1" formatColumns="0" formatRows="0" sort="0" autoFilter="0"/>
  <mergeCells count="9">
    <mergeCell ref="M30:N30"/>
    <mergeCell ref="O30:P30"/>
    <mergeCell ref="Q30:R30"/>
    <mergeCell ref="C3:R3"/>
    <mergeCell ref="C275:K276"/>
    <mergeCell ref="F13:H18"/>
    <mergeCell ref="G30:H30"/>
    <mergeCell ref="I30:J30"/>
    <mergeCell ref="K30:L30"/>
  </mergeCells>
  <conditionalFormatting sqref="H32:H260">
    <cfRule type="expression" dxfId="131" priority="27">
      <formula>OR(AND($H$31 = "HIsum", ISNUMBER(H32), H32 &lt; 1), AND($H$31 = "TERlt", ISNUMBER(H32), H32 &gt; 5))</formula>
    </cfRule>
    <cfRule type="expression" dxfId="130" priority="28">
      <formula>OR(AND($H$31 = "HIsum", ISNUMBER(H32), H32 &gt;=1), AND($H$31 = "TERlt", ISNUMBER(H32), H32 &lt;= 5))</formula>
    </cfRule>
  </conditionalFormatting>
  <conditionalFormatting sqref="J32:J260 L32:L260 N32:N260 P32:P260">
    <cfRule type="expression" dxfId="129" priority="14">
      <formula>AND(ISNUMBER(J32),J32&gt;5)</formula>
    </cfRule>
    <cfRule type="expression" dxfId="128" priority="16">
      <formula>AND(ISNUMBER(J32),J32&lt;=5)</formula>
    </cfRule>
  </conditionalFormatting>
  <conditionalFormatting sqref="G32:G260">
    <cfRule type="expression" dxfId="127" priority="15">
      <formula>$B32="Input provided"</formula>
    </cfRule>
  </conditionalFormatting>
  <conditionalFormatting sqref="I32:J260">
    <cfRule type="expression" dxfId="126" priority="13">
      <formula>AND(Active1=TRUE,  $B32&lt;&gt;"Input provided")</formula>
    </cfRule>
  </conditionalFormatting>
  <conditionalFormatting sqref="K32:L260">
    <cfRule type="expression" dxfId="125" priority="11">
      <formula>AND(Active2=TRUE,  $B32&lt;&gt;"Input provided")</formula>
    </cfRule>
  </conditionalFormatting>
  <conditionalFormatting sqref="M32:N260">
    <cfRule type="expression" dxfId="124" priority="12">
      <formula>AND(Active3=TRUE,  $B32&lt;&gt;"Input provided")</formula>
    </cfRule>
  </conditionalFormatting>
  <conditionalFormatting sqref="O32:P260">
    <cfRule type="expression" dxfId="123" priority="10">
      <formula>AND(Active4=TRUE,  $B32&lt;&gt;"Input provided")</formula>
    </cfRule>
  </conditionalFormatting>
  <conditionalFormatting sqref="B32:H260">
    <cfRule type="expression" dxfId="122" priority="18">
      <formula>$B32&lt;&gt;"Input provided"</formula>
    </cfRule>
  </conditionalFormatting>
  <conditionalFormatting sqref="D14:D18">
    <cfRule type="expression" dxfId="121" priority="8">
      <formula>ISNUMBER(D14)</formula>
    </cfRule>
  </conditionalFormatting>
  <conditionalFormatting sqref="F12:H18">
    <cfRule type="expression" dxfId="120" priority="7">
      <formula>NOT(ISNUMBER($D$13))</formula>
    </cfRule>
  </conditionalFormatting>
  <conditionalFormatting sqref="I30:J31">
    <cfRule type="expression" dxfId="119" priority="26">
      <formula>Active1=TRUE</formula>
    </cfRule>
  </conditionalFormatting>
  <conditionalFormatting sqref="K30:L31">
    <cfRule type="expression" dxfId="118" priority="25">
      <formula>Active2=TRUE</formula>
    </cfRule>
  </conditionalFormatting>
  <conditionalFormatting sqref="M30:N31">
    <cfRule type="expression" dxfId="117" priority="24">
      <formula>Active3=TRUE</formula>
    </cfRule>
  </conditionalFormatting>
  <conditionalFormatting sqref="O30:P31">
    <cfRule type="expression" dxfId="116" priority="23">
      <formula>Active4=TRUE</formula>
    </cfRule>
  </conditionalFormatting>
  <conditionalFormatting sqref="R32:R159">
    <cfRule type="expression" dxfId="115" priority="3">
      <formula>AND(ISNUMBER(R32),R32&gt;5)</formula>
    </cfRule>
    <cfRule type="expression" dxfId="114" priority="4">
      <formula>AND(ISNUMBER(R32),R32&lt;=5)</formula>
    </cfRule>
  </conditionalFormatting>
  <conditionalFormatting sqref="Q32:R260">
    <cfRule type="expression" dxfId="113" priority="2">
      <formula>AND(Active5=TRUE,  $B32&lt;&gt;"Input provided")</formula>
    </cfRule>
  </conditionalFormatting>
  <conditionalFormatting sqref="Q30:R31">
    <cfRule type="expression" dxfId="112" priority="5">
      <formula>Active5=TRUE</formula>
    </cfRule>
  </conditionalFormatting>
  <conditionalFormatting sqref="G31:G260">
    <cfRule type="expression" dxfId="111" priority="1">
      <formula>M_ChronicScheme = "Hisum"</formula>
    </cfRule>
  </conditionalFormatting>
  <dataValidations count="1">
    <dataValidation type="list" allowBlank="1" showInputMessage="1" showErrorMessage="1" sqref="H12" xr:uid="{C487C85E-75AE-4AB6-89D3-A6C409C4E6E3}">
      <formula1>"Yes,No"</formula1>
    </dataValidation>
  </dataValidations>
  <hyperlinks>
    <hyperlink ref="C277" r:id="rId1" xr:uid="{77DF974B-D825-421D-9271-CB9EA2D6F935}"/>
  </hyperlinks>
  <pageMargins left="0.7" right="0.7" top="0.75" bottom="0.75" header="0.3" footer="0.3"/>
  <pageSetup paperSize="9" orientation="portrait"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753" id="{1B1E8FAB-8EBD-4FB6-8FB0-15A914E8FF82}">
            <xm:f>ISNUMBER(Input!$C$20)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I32:J260</xm:sqref>
        </x14:conditionalFormatting>
        <x14:conditionalFormatting xmlns:xm="http://schemas.microsoft.com/office/excel/2006/main">
          <x14:cfRule type="expression" priority="754" id="{21523C19-77DA-49F0-BB3E-42AD075A91DA}">
            <xm:f>ISNUMBER(Input!E$20)</xm:f>
            <x14:dxf>
              <font>
                <color theme="1"/>
              </font>
              <border>
                <left style="thin">
                  <color auto="1"/>
                </left>
                <right style="thin">
                  <color auto="1"/>
                </right>
                <top style="thin">
                  <color auto="1"/>
                </top>
                <bottom style="thin">
                  <color auto="1"/>
                </bottom>
              </border>
            </x14:dxf>
          </x14:cfRule>
          <xm:sqref>L32:L260</xm:sqref>
        </x14:conditionalFormatting>
        <x14:conditionalFormatting xmlns:xm="http://schemas.microsoft.com/office/excel/2006/main">
          <x14:cfRule type="expression" priority="755" id="{449C8644-1E62-4151-81EE-B97E4D6C3499}">
            <xm:f>ISNUMBER(Input!$D$20)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K32:L260</xm:sqref>
        </x14:conditionalFormatting>
        <x14:conditionalFormatting xmlns:xm="http://schemas.microsoft.com/office/excel/2006/main">
          <x14:cfRule type="expression" priority="756" id="{1F5AD0AA-216A-4550-BFB5-6B6809AA6ED2}">
            <xm:f>ISNUMBER(Input!$E$20)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M32:N260</xm:sqref>
        </x14:conditionalFormatting>
        <x14:conditionalFormatting xmlns:xm="http://schemas.microsoft.com/office/excel/2006/main">
          <x14:cfRule type="expression" priority="757" id="{70E78462-BF77-4E82-977B-BFACBB5A5FD7}">
            <xm:f>ISNUMBER(Input!$F$20)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O32:P260</xm:sqref>
        </x14:conditionalFormatting>
        <x14:conditionalFormatting xmlns:xm="http://schemas.microsoft.com/office/excel/2006/main">
          <x14:cfRule type="expression" priority="6" id="{35F78F75-E3D6-4406-AD92-9BD5C1C0C03B}">
            <xm:f>ISNUMBER(Input!$G$20)</xm:f>
            <x14:dxf>
              <font>
                <color theme="1"/>
              </font>
              <fill>
                <patternFill>
                  <bgColor theme="6" tint="0.79998168889431442"/>
                </patternFill>
              </fill>
              <border>
                <left style="thin">
                  <color auto="1"/>
                </left>
                <right style="thin">
                  <color auto="1"/>
                </right>
                <top style="thin">
                  <color auto="1"/>
                </top>
                <bottom style="thin">
                  <color auto="1"/>
                </bottom>
                <vertical/>
                <horizontal/>
              </border>
            </x14:dxf>
          </x14:cfRule>
          <xm:sqref>Q32:R260</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DBC08-BB79-4D5D-97E9-8A7787340F92}">
  <sheetPr codeName="Sheet7"/>
  <dimension ref="A2:Z284"/>
  <sheetViews>
    <sheetView topLeftCell="A6" zoomScale="70" zoomScaleNormal="70" workbookViewId="0">
      <selection activeCell="K22" sqref="K22"/>
    </sheetView>
  </sheetViews>
  <sheetFormatPr defaultColWidth="9.140625" defaultRowHeight="15"/>
  <cols>
    <col min="1" max="1" width="12.140625" style="225" customWidth="1"/>
    <col min="2" max="2" width="12.42578125" style="260" customWidth="1"/>
    <col min="3" max="3" width="21" style="260" customWidth="1"/>
    <col min="4" max="4" width="17" style="260" customWidth="1"/>
    <col min="5" max="5" width="16.140625" style="260" customWidth="1"/>
    <col min="6" max="6" width="16.28515625" style="260" customWidth="1"/>
    <col min="7" max="7" width="19" style="260" customWidth="1"/>
    <col min="8" max="8" width="22.5703125" style="260" customWidth="1"/>
    <col min="9" max="9" width="17.42578125" style="260" customWidth="1"/>
    <col min="10" max="10" width="25.28515625" style="260" customWidth="1"/>
    <col min="11" max="11" width="16.5703125" style="260" customWidth="1"/>
    <col min="12" max="12" width="21.42578125" style="260" customWidth="1"/>
    <col min="13" max="13" width="17.42578125" style="260" customWidth="1"/>
    <col min="14" max="14" width="17.140625" style="260" customWidth="1"/>
    <col min="15" max="15" width="17.28515625" style="260" customWidth="1"/>
    <col min="16" max="16" width="19.7109375" style="260" customWidth="1"/>
    <col min="17" max="17" width="15" style="260" customWidth="1"/>
    <col min="18" max="18" width="19.42578125" style="260" customWidth="1"/>
    <col min="19" max="19" width="14.42578125" style="225" customWidth="1"/>
    <col min="20" max="20" width="21.140625" style="224" customWidth="1"/>
    <col min="21" max="21" width="27.7109375" style="2" customWidth="1"/>
    <col min="22" max="22" width="18" style="140" customWidth="1"/>
    <col min="23" max="25" width="17" style="140" customWidth="1"/>
    <col min="26" max="26" width="17" style="260" customWidth="1"/>
    <col min="27" max="27" width="16.85546875" style="225" customWidth="1"/>
    <col min="28" max="28" width="79.140625" style="225" customWidth="1"/>
    <col min="29" max="16384" width="9.140625" style="225"/>
  </cols>
  <sheetData>
    <row r="2" spans="1:26" s="326" customFormat="1" ht="14.25">
      <c r="B2" s="269" t="s">
        <v>282</v>
      </c>
      <c r="C2" s="492" t="s">
        <v>283</v>
      </c>
      <c r="D2" s="492"/>
      <c r="E2" s="492"/>
      <c r="F2" s="260"/>
      <c r="G2" s="260"/>
      <c r="H2" s="260"/>
      <c r="I2" s="260"/>
      <c r="J2" s="260"/>
      <c r="K2" s="260"/>
      <c r="L2" s="260"/>
      <c r="M2" s="260"/>
      <c r="N2" s="260"/>
      <c r="O2" s="260"/>
      <c r="P2" s="260"/>
      <c r="Q2" s="260"/>
      <c r="R2" s="260"/>
      <c r="T2" s="327"/>
      <c r="U2" s="328"/>
      <c r="V2" s="140"/>
      <c r="W2" s="140"/>
      <c r="X2" s="140"/>
      <c r="Y2" s="140"/>
      <c r="Z2" s="260"/>
    </row>
    <row r="3" spans="1:26" s="260" customFormat="1" ht="41.25" customHeight="1">
      <c r="B3" s="270"/>
      <c r="C3" s="489" t="s">
        <v>284</v>
      </c>
      <c r="D3" s="490"/>
      <c r="E3" s="491"/>
      <c r="T3" s="329"/>
      <c r="U3" s="140"/>
      <c r="V3" s="140"/>
      <c r="W3" s="140"/>
      <c r="X3" s="140"/>
      <c r="Y3" s="140"/>
    </row>
    <row r="4" spans="1:26" s="260" customFormat="1" ht="38.25" customHeight="1">
      <c r="B4" s="273"/>
      <c r="C4" s="489" t="s">
        <v>285</v>
      </c>
      <c r="D4" s="490"/>
      <c r="E4" s="491"/>
      <c r="T4" s="329"/>
      <c r="U4" s="140"/>
      <c r="V4" s="140"/>
      <c r="W4" s="140"/>
      <c r="X4" s="140"/>
      <c r="Y4" s="140"/>
    </row>
    <row r="5" spans="1:26" s="260" customFormat="1" ht="47.25" customHeight="1">
      <c r="B5" s="323"/>
      <c r="C5" s="324" t="s">
        <v>286</v>
      </c>
      <c r="D5" s="324"/>
      <c r="E5" s="325"/>
      <c r="T5" s="329"/>
      <c r="U5" s="140"/>
      <c r="V5" s="140"/>
      <c r="W5" s="140"/>
      <c r="X5" s="140"/>
      <c r="Y5" s="140"/>
    </row>
    <row r="7" spans="1:26">
      <c r="B7" s="269" t="s">
        <v>287</v>
      </c>
    </row>
    <row r="8" spans="1:26">
      <c r="A8" s="335"/>
      <c r="B8" s="486" t="s">
        <v>288</v>
      </c>
      <c r="C8" s="486"/>
      <c r="D8" s="486"/>
      <c r="E8" s="486"/>
      <c r="F8" s="487"/>
      <c r="G8" s="485" t="s">
        <v>289</v>
      </c>
      <c r="H8" s="487"/>
      <c r="I8" s="485" t="s">
        <v>290</v>
      </c>
      <c r="J8" s="487"/>
      <c r="K8" s="485" t="s">
        <v>291</v>
      </c>
      <c r="L8" s="486"/>
      <c r="M8" s="486"/>
      <c r="N8" s="487"/>
      <c r="O8" s="486" t="s">
        <v>292</v>
      </c>
      <c r="P8" s="486"/>
      <c r="Q8" s="486"/>
      <c r="R8" s="487"/>
    </row>
    <row r="9" spans="1:26">
      <c r="A9" s="334"/>
      <c r="B9" s="231"/>
      <c r="C9" s="231" t="s">
        <v>293</v>
      </c>
      <c r="D9" s="231" t="s">
        <v>3</v>
      </c>
      <c r="E9" s="231" t="s">
        <v>3</v>
      </c>
      <c r="F9" s="232" t="s">
        <v>294</v>
      </c>
      <c r="G9" s="233" t="s">
        <v>3</v>
      </c>
      <c r="H9" s="232" t="s">
        <v>3</v>
      </c>
      <c r="I9" s="234" t="s">
        <v>3</v>
      </c>
      <c r="J9" s="235" t="s">
        <v>3</v>
      </c>
      <c r="K9" s="233" t="s">
        <v>295</v>
      </c>
      <c r="L9" s="231" t="s">
        <v>296</v>
      </c>
      <c r="M9" s="231" t="s">
        <v>297</v>
      </c>
      <c r="N9" s="232" t="s">
        <v>298</v>
      </c>
      <c r="O9" s="236" t="s">
        <v>295</v>
      </c>
      <c r="P9" s="236" t="s">
        <v>296</v>
      </c>
      <c r="Q9" s="236" t="s">
        <v>297</v>
      </c>
      <c r="R9" s="235" t="s">
        <v>298</v>
      </c>
    </row>
    <row r="10" spans="1:26">
      <c r="A10" s="334"/>
      <c r="B10" s="271"/>
      <c r="C10" s="271" t="s">
        <v>299</v>
      </c>
      <c r="D10" s="271" t="s">
        <v>300</v>
      </c>
      <c r="E10" s="271" t="s">
        <v>301</v>
      </c>
      <c r="F10" s="272" t="s">
        <v>302</v>
      </c>
      <c r="G10" s="238" t="s">
        <v>303</v>
      </c>
      <c r="H10" s="240" t="s">
        <v>304</v>
      </c>
      <c r="I10" s="241" t="s">
        <v>303</v>
      </c>
      <c r="J10" s="242" t="s">
        <v>304</v>
      </c>
      <c r="K10" s="238"/>
      <c r="L10" s="239" t="s">
        <v>302</v>
      </c>
      <c r="M10" s="239"/>
      <c r="N10" s="240" t="s">
        <v>302</v>
      </c>
      <c r="O10" s="239"/>
      <c r="P10" s="239" t="s">
        <v>302</v>
      </c>
      <c r="Q10" s="239"/>
      <c r="R10" s="240" t="s">
        <v>302</v>
      </c>
    </row>
    <row r="11" spans="1:26">
      <c r="A11" s="289"/>
      <c r="B11" s="244" t="s">
        <v>305</v>
      </c>
      <c r="C11" s="244" t="s">
        <v>306</v>
      </c>
      <c r="D11" s="244" t="s">
        <v>307</v>
      </c>
      <c r="E11" s="245" t="s">
        <v>308</v>
      </c>
      <c r="F11" s="244" t="s">
        <v>309</v>
      </c>
      <c r="G11" s="244" t="s">
        <v>310</v>
      </c>
      <c r="H11" s="244" t="s">
        <v>311</v>
      </c>
      <c r="I11" s="246" t="s">
        <v>312</v>
      </c>
      <c r="J11" s="247" t="s">
        <v>313</v>
      </c>
      <c r="K11" s="244" t="s">
        <v>314</v>
      </c>
      <c r="L11" s="244" t="s">
        <v>315</v>
      </c>
      <c r="M11" s="244" t="s">
        <v>316</v>
      </c>
      <c r="N11" s="247" t="s">
        <v>317</v>
      </c>
      <c r="O11" s="244" t="s">
        <v>318</v>
      </c>
      <c r="P11" s="244" t="s">
        <v>319</v>
      </c>
      <c r="Q11" s="244" t="s">
        <v>320</v>
      </c>
      <c r="R11" s="244" t="s">
        <v>321</v>
      </c>
    </row>
    <row r="12" spans="1:26">
      <c r="B12" s="227">
        <v>1</v>
      </c>
      <c r="C12" s="228" t="b">
        <f>IF(Count&gt;=B12,TRUE,FALSE)</f>
        <v>0</v>
      </c>
      <c r="D12" s="274" t="str">
        <f>IF(Active[[#This Row],[Active]]=TRUE,
       IF(ISTEXT(Input!$C$22),Input!$C$22,"Substance "&amp;Active[[#This Row],[i]]),"")</f>
        <v/>
      </c>
      <c r="E12" s="275" t="str" cm="1">
        <f t="array" ref="E12">IF(AND(Active[[#This Row],[Active]]=TRUE, ISNUMBER(INDEX(Input_AS.Concentration, 1,Active[[#This Row],[i]]))),
                  INDEX(Input_AS.Concentration, 1,Active[[#This Row],[i]]),"")</f>
        <v/>
      </c>
      <c r="F12" s="248" t="str">
        <f ca="1">IF(AND(Active[[#This Row],[Active]]=TRUE, ISNUMBER(Cmix),ISNUMBER(Active[[#This Row],[Cas]])),
           Active[[#This Row],[Cas]]/Cmix,"")</f>
        <v/>
      </c>
      <c r="G12" s="274" t="str" cm="1">
        <f t="array" ref="G12">IF(AND(Active[[#This Row],[Active]]=TRUE, ISNUMBER(INDEX(Input_AS.Bird.LD50, 1,Active[[#This Row],[i]]))),
                  INDEX(Input_AS.Bird.LD50, 1,Active[[#This Row],[i]]),"")</f>
        <v/>
      </c>
      <c r="H12" s="274" t="str" cm="1">
        <f t="array" ref="H12">IF(AND(Active[[#This Row],[Active]]=TRUE, ISNUMBER(INDEX(Input_AS.Bird.NOAEL, 1,Active[[#This Row],[i]]))),
                  INDEX(Input_AS.Bird.NOAEL, 1,Active[[#This Row],[i]]),"")</f>
        <v/>
      </c>
      <c r="I12" s="278" t="str" cm="1">
        <f t="array" ref="I12">IF(AND(Active[[#This Row],[Active]]=TRUE, ISNUMBER(INDEX(Input_AS.Mammal.LD50, 1,Active[[#This Row],[i]]))),
                  INDEX(Input_AS.Mammal.LD50, 1,Active[[#This Row],[i]]),"")</f>
        <v/>
      </c>
      <c r="J12" s="278" t="str" cm="1">
        <f t="array" ref="J12">IF(AND(Active[[#This Row],[Active]]=TRUE, ISNUMBER(INDEX(Input_AS.Mammal.NOAEL, 1,Active[[#This Row],[i]]))),
                  INDEX(Input_AS.Mammal.NOAEL, 1,Active[[#This Row],[i]]),"")</f>
        <v/>
      </c>
      <c r="K12" s="249" t="str">
        <f ca="1">IF(AND(Active[[#This Row],[Active]]=TRUE,Process!$J$5=TRUE),Active[[#This Row],[B_LD50]]/Active[[#This Row],[Xas]],"")</f>
        <v/>
      </c>
      <c r="L12" s="248" t="str">
        <f ca="1">IF(AND(Active[[#This Row],[Active]]=TRUE,ISNUMBER(B_LD50_mix)),Active[[#This Row],[B_tpfas]]/B_LD50_mix-1,"")</f>
        <v/>
      </c>
      <c r="M12" s="250" t="str">
        <f ca="1">IF(AND(Active[[#This Row],[Active]]=TRUE,Process!$J$5=TRUE),Active[[#This Row],[Xas]]/Active[[#This Row],[B_LD50]],"")</f>
        <v/>
      </c>
      <c r="N12" s="248" t="str">
        <f ca="1">IF(AND(Active[[#This Row],[Active]]=TRUE,ISNUMBER(Active[[#This Row],[B_ftpas]])),Active[[#This Row],[B_ftpas]]/SUM(Active[B_ftpas]),"")</f>
        <v/>
      </c>
      <c r="O12" s="251" t="str">
        <f>IFERROR(IF(AND(Active[[#This Row],[Active]]=TRUE,ISNUMBER(Active[[#This Row],[M_LD50]])),Active[[#This Row],[M_LD50]]/Active[[#This Row],[Xas]],""),"")</f>
        <v/>
      </c>
      <c r="P12" s="248" t="str">
        <f ca="1">IFERROR(IF(AND(Active[[#This Row],[Active]]=TRUE,ISNUMBER(M_LD50_mix)),Active[[#This Row],[M_tpfas]]/M_LD50_mix-1,""),"")</f>
        <v/>
      </c>
      <c r="Q12" s="250" t="str">
        <f ca="1">IFERROR(IF(AND(Active[[#This Row],[Active]]=TRUE,ISNUMBER(Active[[#This Row],[Xas]])),Active[[#This Row],[Xas]]/Active[[#This Row],[M_LD50]],""),"")</f>
        <v/>
      </c>
      <c r="R12" s="252" t="str">
        <f ca="1">IFERROR(IF(AND(Active[[#This Row],[Active]]=TRUE,ISNUMBER(Active[[#This Row],[M_ftpas]])),Active[[#This Row],[M_ftpas]]/SUM(Active[M_ftpas]),""),"")</f>
        <v/>
      </c>
    </row>
    <row r="13" spans="1:26">
      <c r="B13" s="227">
        <v>2</v>
      </c>
      <c r="C13" s="228" t="b">
        <f>IF(Count&gt;=B13,TRUE,FALSE)</f>
        <v>0</v>
      </c>
      <c r="D13" s="274" t="str">
        <f>IF(Active[[#This Row],[Active]]=TRUE,
       IF(ISTEXT(Input!$D$22),Input!$D$22,"Substance "&amp;Active[[#This Row],[i]]),"")</f>
        <v/>
      </c>
      <c r="E13" s="275" t="str" cm="1">
        <f t="array" ref="E13">IF(AND(Active[[#This Row],[Active]]=TRUE, ISNUMBER(INDEX(Input_AS.Concentration, 1,Active[[#This Row],[i]]))),
                  INDEX(Input_AS.Concentration, 1,Active[[#This Row],[i]]),"")</f>
        <v/>
      </c>
      <c r="F13" s="248" t="str">
        <f ca="1">IF(AND(Active[[#This Row],[Active]]=TRUE, ISNUMBER(Cmix),ISNUMBER(Active[[#This Row],[Cas]])),
           Active[[#This Row],[Cas]]/Cmix,"")</f>
        <v/>
      </c>
      <c r="G13" s="274" t="str" cm="1">
        <f t="array" ref="G13">IF(AND(Active[[#This Row],[Active]]=TRUE, ISNUMBER(INDEX(Input_AS.Bird.LD50, 1,Active[[#This Row],[i]]))),
                  INDEX(Input_AS.Bird.LD50, 1,Active[[#This Row],[i]]),"")</f>
        <v/>
      </c>
      <c r="H13" s="274" t="str" cm="1">
        <f t="array" ref="H13">IF(AND(Active[[#This Row],[Active]]=TRUE, ISNUMBER(INDEX(Input_AS.Bird.NOAEL, 1,Active[[#This Row],[i]]))),
                  INDEX(Input_AS.Bird.NOAEL, 1,Active[[#This Row],[i]]),"")</f>
        <v/>
      </c>
      <c r="I13" s="278" t="str" cm="1">
        <f t="array" ref="I13">IF(AND(Active[[#This Row],[Active]]=TRUE, ISNUMBER(INDEX(Input_AS.Mammal.LD50, 1,Active[[#This Row],[i]]))),
                  INDEX(Input_AS.Mammal.LD50, 1,Active[[#This Row],[i]]),"")</f>
        <v/>
      </c>
      <c r="J13" s="278" t="str" cm="1">
        <f t="array" ref="J13">IF(AND(Active[[#This Row],[Active]]=TRUE, ISNUMBER(INDEX(Input_AS.Mammal.NOAEL, 1,Active[[#This Row],[i]]))),
                  INDEX(Input_AS.Mammal.NOAEL, 1,Active[[#This Row],[i]]),"")</f>
        <v/>
      </c>
      <c r="K13" s="249" t="str">
        <f ca="1">IF(AND(Active[[#This Row],[Active]]=TRUE,Process!$J$5=TRUE),Active[[#This Row],[B_LD50]]/Active[[#This Row],[Xas]],"")</f>
        <v/>
      </c>
      <c r="L13" s="248" t="str">
        <f ca="1">IF(AND(Active[[#This Row],[Active]]=TRUE,ISNUMBER(B_LD50_mix)),Active[[#This Row],[B_tpfas]]/B_LD50_mix-1,"")</f>
        <v/>
      </c>
      <c r="M13" s="250" t="str">
        <f ca="1">IF(AND(Active[[#This Row],[Active]]=TRUE,Process!$J$5=TRUE),Active[[#This Row],[Xas]]/Active[[#This Row],[B_LD50]],"")</f>
        <v/>
      </c>
      <c r="N13" s="248" t="str">
        <f ca="1">IF(AND(Active[[#This Row],[Active]]=TRUE,ISNUMBER(Active[[#This Row],[B_ftpas]])),Active[[#This Row],[B_ftpas]]/SUM(Active[B_ftpas]),"")</f>
        <v/>
      </c>
      <c r="O13" s="251" t="str">
        <f>IFERROR(IF(AND(Active[[#This Row],[Active]]=TRUE,ISNUMBER(Active[[#This Row],[M_LD50]])),Active[[#This Row],[M_LD50]]/Active[[#This Row],[Xas]],""),"")</f>
        <v/>
      </c>
      <c r="P13" s="248" t="str">
        <f ca="1">IFERROR(IF(AND(Active[[#This Row],[Active]]=TRUE,ISNUMBER(M_LD50_mix)),Active[[#This Row],[M_tpfas]]/M_LD50_mix-1,""),"")</f>
        <v/>
      </c>
      <c r="Q13" s="250" t="str">
        <f ca="1">IFERROR(IF(AND(Active[[#This Row],[Active]]=TRUE,ISNUMBER(Active[[#This Row],[Xas]])),Active[[#This Row],[Xas]]/Active[[#This Row],[M_LD50]],""),"")</f>
        <v/>
      </c>
      <c r="R13" s="252" t="str">
        <f ca="1">IFERROR(IF(AND(Active[[#This Row],[Active]]=TRUE,ISNUMBER(Active[[#This Row],[M_ftpas]])),Active[[#This Row],[M_ftpas]]/SUM(Active[M_ftpas]),""),"")</f>
        <v/>
      </c>
    </row>
    <row r="14" spans="1:26">
      <c r="B14" s="227">
        <v>3</v>
      </c>
      <c r="C14" s="228" t="b">
        <f>IF(Count&gt;=B14,TRUE,FALSE)</f>
        <v>0</v>
      </c>
      <c r="D14" s="274" t="str">
        <f>IF(Active[[#This Row],[Active]]=TRUE,
       IF(ISTEXT(Input!$C$22),Input!$E$22,"Substance "&amp;Active[[#This Row],[i]]),"")</f>
        <v/>
      </c>
      <c r="E14" s="275" t="str" cm="1">
        <f t="array" ref="E14">IF(AND(Active[[#This Row],[Active]]=TRUE, ISNUMBER(INDEX(Input_AS.Concentration, 1,Active[[#This Row],[i]]))),
                  INDEX(Input_AS.Concentration, 1,Active[[#This Row],[i]]),"")</f>
        <v/>
      </c>
      <c r="F14" s="248" t="str">
        <f ca="1">IF(AND(Active[[#This Row],[Active]]=TRUE, ISNUMBER(Cmix),ISNUMBER(Active[[#This Row],[Cas]])),
           Active[[#This Row],[Cas]]/Cmix,"")</f>
        <v/>
      </c>
      <c r="G14" s="274" t="str" cm="1">
        <f t="array" ref="G14">IF(AND(Active[[#This Row],[Active]]=TRUE, ISNUMBER(INDEX(Input_AS.Bird.LD50, 1,Active[[#This Row],[i]]))),
                  INDEX(Input_AS.Bird.LD50, 1,Active[[#This Row],[i]]),"")</f>
        <v/>
      </c>
      <c r="H14" s="274" t="str" cm="1">
        <f t="array" ref="H14">IF(AND(Active[[#This Row],[Active]]=TRUE, ISNUMBER(INDEX(Input_AS.Bird.NOAEL, 1,Active[[#This Row],[i]]))),
                  INDEX(Input_AS.Bird.NOAEL, 1,Active[[#This Row],[i]]),"")</f>
        <v/>
      </c>
      <c r="I14" s="278" t="str" cm="1">
        <f t="array" ref="I14">IF(AND(Active[[#This Row],[Active]]=TRUE, ISNUMBER(INDEX(Input_AS.Mammal.LD50, 1,Active[[#This Row],[i]]))),
                  INDEX(Input_AS.Mammal.LD50, 1,Active[[#This Row],[i]]),"")</f>
        <v/>
      </c>
      <c r="J14" s="278" t="str" cm="1">
        <f t="array" ref="J14">IF(AND(Active[[#This Row],[Active]]=TRUE, ISNUMBER(INDEX(Input_AS.Mammal.NOAEL, 1,Active[[#This Row],[i]]))),
                  INDEX(Input_AS.Mammal.NOAEL, 1,Active[[#This Row],[i]]),"")</f>
        <v/>
      </c>
      <c r="K14" s="249" t="str">
        <f ca="1">IF(AND(Active[[#This Row],[Active]]=TRUE,Process!$J$5=TRUE),Active[[#This Row],[B_LD50]]/Active[[#This Row],[Xas]],"")</f>
        <v/>
      </c>
      <c r="L14" s="248" t="str">
        <f ca="1">IF(AND(Active[[#This Row],[Active]]=TRUE,ISNUMBER(B_LD50_mix)),Active[[#This Row],[B_tpfas]]/B_LD50_mix-1,"")</f>
        <v/>
      </c>
      <c r="M14" s="250" t="str">
        <f ca="1">IF(AND(Active[[#This Row],[Active]]=TRUE,Process!$J$5=TRUE),Active[[#This Row],[Xas]]/Active[[#This Row],[B_LD50]],"")</f>
        <v/>
      </c>
      <c r="N14" s="248" t="str">
        <f ca="1">IF(AND(Active[[#This Row],[Active]]=TRUE,ISNUMBER(Active[[#This Row],[B_ftpas]])),Active[[#This Row],[B_ftpas]]/SUM(Active[B_ftpas]),"")</f>
        <v/>
      </c>
      <c r="O14" s="251" t="str">
        <f>IFERROR(IF(AND(Active[[#This Row],[Active]]=TRUE,ISNUMBER(Active[[#This Row],[M_LD50]])),Active[[#This Row],[M_LD50]]/Active[[#This Row],[Xas]],""),"")</f>
        <v/>
      </c>
      <c r="P14" s="248" t="str">
        <f ca="1">IFERROR(IF(AND(Active[[#This Row],[Active]]=TRUE,ISNUMBER(M_LD50_mix)),Active[[#This Row],[M_tpfas]]/M_LD50_mix-1,""),"")</f>
        <v/>
      </c>
      <c r="Q14" s="250" t="str">
        <f ca="1">IFERROR(IF(AND(Active[[#This Row],[Active]]=TRUE,ISNUMBER(Active[[#This Row],[Xas]])),Active[[#This Row],[Xas]]/Active[[#This Row],[M_LD50]],""),"")</f>
        <v/>
      </c>
      <c r="R14" s="252" t="str">
        <f ca="1">IFERROR(IF(AND(Active[[#This Row],[Active]]=TRUE,ISNUMBER(Active[[#This Row],[M_ftpas]])),Active[[#This Row],[M_ftpas]]/SUM(Active[M_ftpas]),""),"")</f>
        <v/>
      </c>
    </row>
    <row r="15" spans="1:26">
      <c r="B15" s="227">
        <v>4</v>
      </c>
      <c r="C15" s="228" t="b">
        <f>IF(Count&gt;=B15,TRUE,FALSE)</f>
        <v>0</v>
      </c>
      <c r="D15" s="274" t="str">
        <f>IF(Active[[#This Row],[Active]]=TRUE,
       IF(ISTEXT(Input!$F$22),Input!$F$22,"Substance "&amp;Active[[#This Row],[i]]),"")</f>
        <v/>
      </c>
      <c r="E15" s="275" t="str" cm="1">
        <f t="array" ref="E15">IF(AND(Active[[#This Row],[Active]]=TRUE, ISNUMBER(INDEX(Input_AS.Concentration, 1,Active[[#This Row],[i]]))),
                  INDEX(Input_AS.Concentration, 1,Active[[#This Row],[i]]),"")</f>
        <v/>
      </c>
      <c r="F15" s="248" t="str">
        <f ca="1">IF(AND(Active[[#This Row],[Active]]=TRUE, ISNUMBER(Cmix),ISNUMBER(Active[[#This Row],[Cas]])),
           Active[[#This Row],[Cas]]/Cmix,"")</f>
        <v/>
      </c>
      <c r="G15" s="274" t="str" cm="1">
        <f t="array" ref="G15">IF(AND(Active[[#This Row],[Active]]=TRUE, ISNUMBER(INDEX(Input_AS.Bird.LD50, 1,Active[[#This Row],[i]]))),
                  INDEX(Input_AS.Bird.LD50, 1,Active[[#This Row],[i]]),"")</f>
        <v/>
      </c>
      <c r="H15" s="274" t="str" cm="1">
        <f t="array" ref="H15">IF(AND(Active[[#This Row],[Active]]=TRUE, ISNUMBER(INDEX(Input_AS.Bird.NOAEL, 1,Active[[#This Row],[i]]))),
                  INDEX(Input_AS.Bird.NOAEL, 1,Active[[#This Row],[i]]),"")</f>
        <v/>
      </c>
      <c r="I15" s="278" t="str" cm="1">
        <f t="array" ref="I15">IF(AND(Active[[#This Row],[Active]]=TRUE, ISNUMBER(INDEX(Input_AS.Mammal.LD50, 1,Active[[#This Row],[i]]))),
                  INDEX(Input_AS.Mammal.LD50, 1,Active[[#This Row],[i]]),"")</f>
        <v/>
      </c>
      <c r="J15" s="278" t="str" cm="1">
        <f t="array" ref="J15">IF(AND(Active[[#This Row],[Active]]=TRUE, ISNUMBER(INDEX(Input_AS.Mammal.NOAEL, 1,Active[[#This Row],[i]]))),
                  INDEX(Input_AS.Mammal.NOAEL, 1,Active[[#This Row],[i]]),"")</f>
        <v/>
      </c>
      <c r="K15" s="249" t="str">
        <f ca="1">IF(AND(Active[[#This Row],[Active]]=TRUE,Process!$J$5=TRUE),Active[[#This Row],[B_LD50]]/Active[[#This Row],[Xas]],"")</f>
        <v/>
      </c>
      <c r="L15" s="248" t="str">
        <f ca="1">IF(AND(Active[[#This Row],[Active]]=TRUE,ISNUMBER(B_LD50_mix)),Active[[#This Row],[B_tpfas]]/B_LD50_mix-1,"")</f>
        <v/>
      </c>
      <c r="M15" s="250" t="str">
        <f ca="1">IF(AND(Active[[#This Row],[Active]]=TRUE,Process!$J$5=TRUE),Active[[#This Row],[Xas]]/Active[[#This Row],[B_LD50]],"")</f>
        <v/>
      </c>
      <c r="N15" s="248" t="str">
        <f ca="1">IF(AND(Active[[#This Row],[Active]]=TRUE,ISNUMBER(Active[[#This Row],[B_ftpas]])),Active[[#This Row],[B_ftpas]]/SUM(Active[B_ftpas]),"")</f>
        <v/>
      </c>
      <c r="O15" s="251" t="str">
        <f>IFERROR(IF(AND(Active[[#This Row],[Active]]=TRUE,ISNUMBER(Active[[#This Row],[M_LD50]])),Active[[#This Row],[M_LD50]]/Active[[#This Row],[Xas]],""),"")</f>
        <v/>
      </c>
      <c r="P15" s="248" t="str">
        <f ca="1">IFERROR(IF(AND(Active[[#This Row],[Active]]=TRUE,ISNUMBER(M_LD50_mix)),Active[[#This Row],[M_tpfas]]/M_LD50_mix-1,""),"")</f>
        <v/>
      </c>
      <c r="Q15" s="250" t="str">
        <f ca="1">IFERROR(IF(AND(Active[[#This Row],[Active]]=TRUE,ISNUMBER(Active[[#This Row],[Xas]])),Active[[#This Row],[Xas]]/Active[[#This Row],[M_LD50]],""),"")</f>
        <v/>
      </c>
      <c r="R15" s="252" t="str">
        <f ca="1">IFERROR(IF(AND(Active[[#This Row],[Active]]=TRUE,ISNUMBER(Active[[#This Row],[M_ftpas]])),Active[[#This Row],[M_ftpas]]/SUM(Active[M_ftpas]),""),"")</f>
        <v/>
      </c>
    </row>
    <row r="16" spans="1:26">
      <c r="A16" s="225" t="str" cm="1">
        <f t="array" ref="A16">IF(AND(Active[[#This Row],[Active]]=TRUE, ISNUMBER(INDEX(Input_AS.Concentration, 1,Active[[#This Row],[i]]))),
                  INDEX(Input_AS.Concentration, 1,Active[[#This Row],[i]]),"")</f>
        <v/>
      </c>
      <c r="B16" s="253">
        <v>5</v>
      </c>
      <c r="C16" s="254" t="b">
        <f>IF(Count&gt;=B16,TRUE,FALSE)</f>
        <v>0</v>
      </c>
      <c r="D16" s="276" t="str">
        <f>IF(Active[[#This Row],[Active]]=TRUE,
       IF(ISTEXT(Input!$G$22),Input!$G$22,"Substance "&amp;Active[[#This Row],[i]]),"")</f>
        <v/>
      </c>
      <c r="E16" s="277" t="str" cm="1">
        <f t="array" ref="E16">IF(AND(Active[[#This Row],[Active]]=TRUE, ISNUMBER(INDEX(Input_AS.Concentration, 1,Active[[#This Row],[i]]))),
                  INDEX(Input_AS.Concentration, 1,Active[[#This Row],[i]]),"")</f>
        <v/>
      </c>
      <c r="F16" s="255" t="str">
        <f ca="1">IF(AND(Active[[#This Row],[Active]]=TRUE, ISNUMBER(Cmix),ISNUMBER(Active[[#This Row],[Cas]])),
           Active[[#This Row],[Cas]]/Cmix,"")</f>
        <v/>
      </c>
      <c r="G16" s="276" t="str" cm="1">
        <f t="array" ref="G16">IF(AND(Active[[#This Row],[Active]]=TRUE, ISNUMBER(INDEX(Input_AS.Bird.LD50, 1,Active[[#This Row],[i]]))),
                  INDEX(Input_AS.Bird.LD50, 1,Active[[#This Row],[i]]),"")</f>
        <v/>
      </c>
      <c r="H16" s="276" t="str" cm="1">
        <f t="array" ref="H16">IF(AND(Active[[#This Row],[Active]]=TRUE, ISNUMBER(INDEX(Input_AS.Bird.NOAEL, 1,Active[[#This Row],[i]]))),
                  INDEX(Input_AS.Bird.NOAEL, 1,Active[[#This Row],[i]]),"")</f>
        <v/>
      </c>
      <c r="I16" s="279" t="str" cm="1">
        <f t="array" ref="I16">IF(AND(Active[[#This Row],[Active]]=TRUE, ISNUMBER(INDEX(Input_AS.Mammal.LD50, 1,Active[[#This Row],[i]]))),
                  INDEX(Input_AS.Mammal.LD50, 1,Active[[#This Row],[i]]),"")</f>
        <v/>
      </c>
      <c r="J16" s="279" t="str" cm="1">
        <f t="array" ref="J16">IF(AND(Active[[#This Row],[Active]]=TRUE, ISNUMBER(INDEX(Input_AS.Mammal.NOAEL, 1,Active[[#This Row],[i]]))),
                  INDEX(Input_AS.Mammal.NOAEL, 1,Active[[#This Row],[i]]),"")</f>
        <v/>
      </c>
      <c r="K16" s="256" t="str">
        <f ca="1">IF(AND(Active[[#This Row],[Active]]=TRUE,Process!$J$5=TRUE),Active[[#This Row],[B_LD50]]/Active[[#This Row],[Xas]],"")</f>
        <v/>
      </c>
      <c r="L16" s="255" t="str">
        <f ca="1">IF(AND(Active[[#This Row],[Active]]=TRUE,ISNUMBER(B_LD50_mix)),Active[[#This Row],[B_tpfas]]/B_LD50_mix-1,"")</f>
        <v/>
      </c>
      <c r="M16" s="257" t="str">
        <f ca="1">IF(AND(Active[[#This Row],[Active]]=TRUE,Process!$J$5=TRUE),Active[[#This Row],[Xas]]/Active[[#This Row],[B_LD50]],"")</f>
        <v/>
      </c>
      <c r="N16" s="255" t="str">
        <f ca="1">IF(AND(Active[[#This Row],[Active]]=TRUE,ISNUMBER(Active[[#This Row],[B_ftpas]])),Active[[#This Row],[B_ftpas]]/SUM(Active[B_ftpas]),"")</f>
        <v/>
      </c>
      <c r="O16" s="258" t="str">
        <f>IFERROR(IF(AND(Active[[#This Row],[Active]]=TRUE,ISNUMBER(Active[[#This Row],[M_LD50]])),Active[[#This Row],[M_LD50]]/Active[[#This Row],[Xas]],""),"")</f>
        <v/>
      </c>
      <c r="P16" s="255" t="str">
        <f ca="1">IFERROR(IF(AND(Active[[#This Row],[Active]]=TRUE,ISNUMBER(M_LD50_mix)),Active[[#This Row],[M_tpfas]]/M_LD50_mix-1,""),"")</f>
        <v/>
      </c>
      <c r="Q16" s="257" t="str">
        <f ca="1">IFERROR(IF(AND(Active[[#This Row],[Active]]=TRUE,ISNUMBER(Active[[#This Row],[Xas]])),Active[[#This Row],[Xas]]/Active[[#This Row],[M_LD50]],""),"")</f>
        <v/>
      </c>
      <c r="R16" s="259" t="str">
        <f ca="1">IFERROR(IF(AND(Active[[#This Row],[Active]]=TRUE,ISNUMBER(Active[[#This Row],[M_ftpas]])),Active[[#This Row],[M_ftpas]]/SUM(Active[M_ftpas]),""),"")</f>
        <v/>
      </c>
    </row>
    <row r="17" spans="1:18" s="2" customFormat="1" ht="42">
      <c r="B17" s="296" t="s">
        <v>322</v>
      </c>
      <c r="C17" s="295" t="s">
        <v>323</v>
      </c>
      <c r="D17" s="295" t="s">
        <v>324</v>
      </c>
      <c r="E17" s="295" t="s">
        <v>325</v>
      </c>
      <c r="F17" s="295" t="s">
        <v>326</v>
      </c>
      <c r="G17" s="295" t="s">
        <v>327</v>
      </c>
      <c r="H17" s="295" t="s">
        <v>328</v>
      </c>
      <c r="I17" s="295" t="s">
        <v>329</v>
      </c>
      <c r="J17" s="295" t="s">
        <v>330</v>
      </c>
      <c r="K17" s="295" t="s">
        <v>331</v>
      </c>
      <c r="L17" s="295" t="s">
        <v>332</v>
      </c>
      <c r="M17" s="295" t="s">
        <v>333</v>
      </c>
      <c r="N17" s="295" t="s">
        <v>334</v>
      </c>
      <c r="O17" s="295" t="s">
        <v>335</v>
      </c>
      <c r="P17" s="295" t="s">
        <v>336</v>
      </c>
      <c r="Q17" s="295" t="s">
        <v>337</v>
      </c>
      <c r="R17" s="295" t="s">
        <v>338</v>
      </c>
    </row>
    <row r="18" spans="1:18" s="2" customFormat="1" ht="21">
      <c r="B18" s="140"/>
      <c r="C18" s="140"/>
      <c r="D18" s="140"/>
      <c r="E18" s="140"/>
      <c r="F18" s="140"/>
      <c r="G18" s="140"/>
      <c r="H18" s="140"/>
      <c r="I18" s="140"/>
      <c r="J18" s="140"/>
      <c r="K18" s="345" t="s">
        <v>339</v>
      </c>
      <c r="L18" s="140"/>
      <c r="M18" s="140"/>
      <c r="N18" s="140"/>
      <c r="O18" s="140"/>
      <c r="P18" s="140"/>
      <c r="Q18" s="140"/>
      <c r="R18" s="140"/>
    </row>
    <row r="19" spans="1:18" s="2" customFormat="1">
      <c r="B19" s="333" t="s">
        <v>340</v>
      </c>
      <c r="C19" s="333" t="s">
        <v>341</v>
      </c>
      <c r="D19" s="333" t="s">
        <v>342</v>
      </c>
      <c r="E19" s="333" t="s">
        <v>88</v>
      </c>
      <c r="F19" s="140"/>
      <c r="G19" s="140"/>
      <c r="H19" s="140"/>
      <c r="I19" s="140"/>
      <c r="J19" s="140"/>
      <c r="K19" s="140"/>
      <c r="L19" s="140"/>
      <c r="M19" s="140"/>
      <c r="N19" s="140"/>
      <c r="O19" s="140"/>
      <c r="P19" s="140"/>
      <c r="Q19" s="140"/>
      <c r="R19" s="140"/>
    </row>
    <row r="20" spans="1:18" s="2" customFormat="1">
      <c r="B20" s="300" t="s">
        <v>307</v>
      </c>
      <c r="C20" s="217" t="s">
        <v>3</v>
      </c>
      <c r="D20" s="301"/>
      <c r="E20" s="294" t="str">
        <f>IF(AND(ISTEXT(Input!C10), Input!C10 &lt;&gt;""),Input!C10,"Product")</f>
        <v>Product</v>
      </c>
      <c r="F20" s="307" t="s">
        <v>343</v>
      </c>
      <c r="G20" s="140"/>
      <c r="H20" s="140"/>
      <c r="I20" s="140"/>
      <c r="J20" s="140"/>
      <c r="K20" s="140"/>
      <c r="L20" s="140"/>
      <c r="M20" s="140"/>
      <c r="N20" s="140"/>
      <c r="O20" s="140"/>
      <c r="P20" s="140"/>
      <c r="Q20" s="140"/>
      <c r="R20" s="140"/>
    </row>
    <row r="21" spans="1:18" s="2" customFormat="1">
      <c r="B21" s="302" t="s">
        <v>344</v>
      </c>
      <c r="C21" s="297" t="s">
        <v>345</v>
      </c>
      <c r="D21" s="298" t="s">
        <v>346</v>
      </c>
      <c r="E21" s="299" t="str">
        <f ca="1">IF(Process!D5=TRUE,SUM(Active[Cas]),"")</f>
        <v/>
      </c>
      <c r="F21" s="307" t="s">
        <v>347</v>
      </c>
      <c r="G21" s="140"/>
      <c r="H21" s="140"/>
      <c r="I21" s="140"/>
      <c r="J21" s="140"/>
      <c r="K21" s="140"/>
      <c r="L21" s="140"/>
      <c r="M21" s="140"/>
      <c r="N21" s="140"/>
      <c r="O21" s="140"/>
      <c r="P21" s="140"/>
      <c r="Q21" s="140"/>
      <c r="R21" s="140"/>
    </row>
    <row r="22" spans="1:18" s="2" customFormat="1">
      <c r="B22" s="303" t="s">
        <v>348</v>
      </c>
      <c r="C22" s="304" t="s">
        <v>349</v>
      </c>
      <c r="D22" s="135" t="s">
        <v>302</v>
      </c>
      <c r="E22" s="305" t="str">
        <f ca="1">IF(Process!D5=TRUE,SUM(Active[Xas]),"")</f>
        <v/>
      </c>
      <c r="F22" s="306" t="s">
        <v>350</v>
      </c>
      <c r="G22" s="140"/>
      <c r="H22" s="140"/>
      <c r="I22" s="140"/>
      <c r="J22" s="140"/>
      <c r="K22" s="140"/>
      <c r="L22" s="140"/>
      <c r="M22" s="140"/>
      <c r="N22" s="140"/>
      <c r="O22" s="140"/>
      <c r="P22" s="140"/>
      <c r="Q22" s="140"/>
      <c r="R22" s="140"/>
    </row>
    <row r="23" spans="1:18" s="2" customFormat="1">
      <c r="B23" s="140"/>
      <c r="C23" s="140"/>
      <c r="D23" s="140"/>
      <c r="E23" s="140"/>
      <c r="F23" s="140"/>
      <c r="G23" s="140"/>
      <c r="H23" s="140"/>
      <c r="I23" s="140"/>
      <c r="J23" s="140"/>
      <c r="K23" s="140"/>
      <c r="L23" s="140"/>
      <c r="M23" s="140"/>
      <c r="N23" s="140"/>
      <c r="O23" s="140"/>
      <c r="P23" s="140"/>
      <c r="Q23" s="140"/>
      <c r="R23" s="140"/>
    </row>
    <row r="24" spans="1:18" s="2" customFormat="1">
      <c r="B24" s="143" t="s">
        <v>351</v>
      </c>
      <c r="C24" s="140"/>
      <c r="D24" s="140"/>
      <c r="E24" s="140"/>
      <c r="F24" s="140"/>
      <c r="G24" s="140"/>
      <c r="H24" s="140"/>
      <c r="I24" s="140"/>
      <c r="J24" s="140"/>
      <c r="K24" s="140"/>
      <c r="L24" s="140"/>
      <c r="M24" s="140"/>
      <c r="N24" s="140"/>
      <c r="O24" s="143"/>
      <c r="P24" s="143"/>
      <c r="Q24" s="143"/>
      <c r="R24" s="143"/>
    </row>
    <row r="25" spans="1:18" s="2" customFormat="1">
      <c r="A25" s="352"/>
      <c r="B25" s="339"/>
      <c r="C25" s="485" t="s">
        <v>3</v>
      </c>
      <c r="D25" s="486"/>
      <c r="E25" s="486"/>
      <c r="F25" s="487"/>
      <c r="G25" s="485" t="s">
        <v>352</v>
      </c>
      <c r="H25" s="486"/>
      <c r="I25" s="486"/>
      <c r="J25" s="486"/>
      <c r="K25" s="486"/>
      <c r="L25" s="486"/>
      <c r="M25" s="486"/>
      <c r="N25" s="487"/>
      <c r="O25" s="488" t="s">
        <v>353</v>
      </c>
      <c r="P25" s="488"/>
      <c r="Q25" s="143"/>
      <c r="R25" s="143"/>
    </row>
    <row r="26" spans="1:18" s="2" customFormat="1" ht="28.5">
      <c r="A26" s="351"/>
      <c r="B26" s="340"/>
      <c r="C26" s="341"/>
      <c r="D26" s="342" t="s">
        <v>3</v>
      </c>
      <c r="E26" s="342" t="s">
        <v>3</v>
      </c>
      <c r="F26" s="343" t="s">
        <v>3</v>
      </c>
      <c r="G26" s="341" t="s">
        <v>354</v>
      </c>
      <c r="H26" s="344" t="s">
        <v>355</v>
      </c>
      <c r="I26" s="342" t="s">
        <v>3</v>
      </c>
      <c r="J26" s="344" t="s">
        <v>356</v>
      </c>
      <c r="K26" s="342" t="s">
        <v>357</v>
      </c>
      <c r="L26" s="236" t="s">
        <v>358</v>
      </c>
      <c r="M26" s="342" t="s">
        <v>357</v>
      </c>
      <c r="N26" s="343" t="s">
        <v>357</v>
      </c>
      <c r="O26" s="342" t="s">
        <v>3</v>
      </c>
      <c r="P26" s="342"/>
    </row>
    <row r="27" spans="1:18" s="2" customFormat="1" ht="22.5">
      <c r="A27" s="351"/>
      <c r="B27" s="346"/>
      <c r="C27" s="347" t="s">
        <v>359</v>
      </c>
      <c r="D27" s="348" t="s">
        <v>303</v>
      </c>
      <c r="E27" s="350" t="s">
        <v>360</v>
      </c>
      <c r="F27" s="349" t="s">
        <v>304</v>
      </c>
      <c r="G27" s="347" t="s">
        <v>303</v>
      </c>
      <c r="H27" s="348"/>
      <c r="I27" s="348" t="s">
        <v>361</v>
      </c>
      <c r="J27" s="350" t="s">
        <v>362</v>
      </c>
      <c r="K27" s="348"/>
      <c r="L27" s="348" t="s">
        <v>299</v>
      </c>
      <c r="M27" s="348"/>
      <c r="N27" s="349"/>
      <c r="O27" s="353" t="s">
        <v>361</v>
      </c>
      <c r="P27" s="353" t="s">
        <v>363</v>
      </c>
    </row>
    <row r="28" spans="1:18" s="2" customFormat="1" ht="31.15" customHeight="1">
      <c r="A28" s="268"/>
      <c r="B28" s="208" t="s">
        <v>364</v>
      </c>
      <c r="C28" s="208" t="s">
        <v>365</v>
      </c>
      <c r="D28" s="208" t="s">
        <v>366</v>
      </c>
      <c r="E28" s="208" t="s">
        <v>367</v>
      </c>
      <c r="F28" s="208" t="s">
        <v>34</v>
      </c>
      <c r="G28" s="136" t="s">
        <v>368</v>
      </c>
      <c r="H28" s="136" t="s">
        <v>369</v>
      </c>
      <c r="I28" s="136" t="s">
        <v>370</v>
      </c>
      <c r="J28" s="136" t="s">
        <v>371</v>
      </c>
      <c r="K28" s="136" t="s">
        <v>372</v>
      </c>
      <c r="L28" s="137" t="s">
        <v>373</v>
      </c>
      <c r="M28" s="136" t="s">
        <v>374</v>
      </c>
      <c r="N28" s="137" t="s">
        <v>375</v>
      </c>
      <c r="O28" s="136" t="s">
        <v>376</v>
      </c>
      <c r="P28" s="136" t="s">
        <v>377</v>
      </c>
    </row>
    <row r="29" spans="1:18" s="2" customFormat="1">
      <c r="A29" s="226"/>
      <c r="B29" s="139" t="s">
        <v>27</v>
      </c>
      <c r="C29" s="280" t="str">
        <f>IF(OR(ISBLANK(Input!C14), NOT(ISNUMBER(Input!G14))),"Not available",Input!C14)</f>
        <v>Not available</v>
      </c>
      <c r="D29" s="282" t="str">
        <f>IF(Product[[#This Row],[Acute test]]&lt;&gt;"Not available",Input!G14,"")</f>
        <v/>
      </c>
      <c r="E29" s="280" t="str">
        <f>IF(OR(ISBLANK(Input!C15),NOT(ISNUMBER(Input!G15))),"Not available",Input!C15)</f>
        <v>Not available</v>
      </c>
      <c r="F29" s="280" t="str">
        <f>IF(AND(Product[[#This Row],[Chronic test]]&lt;&gt;"Not available",ISNUMBER(Input!G15)),Input!G15,"")</f>
        <v/>
      </c>
      <c r="G29" s="336" t="str">
        <f t="array" aca="1" ref="G29" ca="1">IFERROR(IF(Process!J5=TRUE,SUM(OFFSET(F12,,,Count,)/OFFSET(G12,,,Count,))^-1,""),"")</f>
        <v/>
      </c>
      <c r="H29" s="144" t="str">
        <f ca="1">IF(AND(ISNUMBER(Product[[#This Row],[LD50form]]),ISNUMBER(B_LD50_mix)),(1/Product[[#This Row],[LD50mix]])-(1/Product[[#This Row],[LD50form]]),"")</f>
        <v/>
      </c>
      <c r="I29" s="138" t="str">
        <f ca="1">IF(AND(Calculations!H29&lt;0,B_Acute_Form_Study="Limit test",NOT(ISBLANK('Birds Acute RA'!E34))),'Birds Acute RA'!E34,"")</f>
        <v/>
      </c>
      <c r="J29" s="213" t="str">
        <f ca="1">IF(Product[[#This Row],[Acute toxicity Driver]]=FALSE,
         IF(OR(
                AND(Product[[#This Row],[Acute test]]="Dose-response",Product[[#This Row],[Acute meas-vs-pred]]&lt;=0),
                AND(Product[[#This Row],[Acute test]]="Limit test",Product[[#This Row],[Acute meas-vs-pred]]&lt;=0,Product[[#This Row],[Acute PPP Limit-test relevance]]="Yes")),
               "Formulation","Surrogate"),
    Product[[#This Row],[Acute toxicity driver name]]&amp;" LD50")</f>
        <v>Surrogate</v>
      </c>
      <c r="K29" s="292" t="str">
        <f ca="1">IFERROR(
      IF(Product[[#This Row],[Used Acute endpoint type]]="Surrogate",B_LD50_mix,
      IF(Product[[#This Row],[Used Acute endpoint type]]="Formulation",Product[[#This Row],[LD50form]],
      IF(ISNUMBER(Product[[#This Row],[Acute toxicity Driver LD50]]),Product[[#This Row],[Acute toxicity Driver LD50]],""))),"")</f>
        <v/>
      </c>
      <c r="L29" s="215" t="b">
        <f ca="1">IF(COUNTIFS(Active[B_dev_tpfmix],"&lt;="&amp;0.1,Active[B_dev_tpfmix],"&gt;=0")&gt;0,TRUE,FALSE)</f>
        <v>0</v>
      </c>
      <c r="M29" s="138" t="str">
        <f ca="1">IFERROR(IF(Product[[#This Row],[Acute toxicity Driver]]=TRUE,INDEX(Active[Name],MATCH(MAX(Active[B_contr_LD50mix]),Active[B_contr_LD50mix],0),),""),"")</f>
        <v/>
      </c>
      <c r="N29" s="141" t="str">
        <f ca="1">IFERROR(IF(B_Driver_test=TRUE,INDEX(Active[B_LD50],MATCH(MAX(Active[B_contr_LD50mix]),Active[B_contr_LD50mix],0),),""),"")</f>
        <v/>
      </c>
      <c r="O29" s="299" t="str">
        <f>IF(AND(OR(Product[[#This Row],[Chronic test]] = "Dose-response", Product[[#This Row],[Chronic test]] = "Limit test"), ISNUMBER(Product[[#This Row],[NOAEL]]), 'Birds Chronic RA'!H12 &lt;&gt; ""),'Birds Chronic RA'!H12, "")</f>
        <v/>
      </c>
      <c r="P29" s="354" t="str">
        <f>IF(AND(ISNUMBER(Product[[#This Row],[NOAEL]]), Product[[#This Row],[Chronic PPP test relevance]] = "Yes"), "C(mix)", "HISUM")</f>
        <v>HISUM</v>
      </c>
    </row>
    <row r="30" spans="1:18" s="2" customFormat="1">
      <c r="B30" s="211" t="s">
        <v>28</v>
      </c>
      <c r="C30" s="281" t="str">
        <f>IF(OR(ISBLANK(Input!D14), NOT(ISNUMBER(Input!H14))),"Not available",Input!D14)</f>
        <v>Not available</v>
      </c>
      <c r="D30" s="283" t="str">
        <f>IF(Product[[#This Row],[Acute test]]&lt;&gt;"Not available",Input!H14,"")</f>
        <v/>
      </c>
      <c r="E30" s="281" t="str">
        <f>IF(OR(ISBLANK(Input!D15),NOT(ISNUMBER(Input!H15))),"Not available",Input!D15)</f>
        <v>Not available</v>
      </c>
      <c r="F30" s="281" t="str">
        <f>IF(AND(Product[[#This Row],[Chronic test]]&lt;&gt;"Not available",ISNUMBER(Input!H15)),Input!H15,"")</f>
        <v/>
      </c>
      <c r="G30" s="337" t="str">
        <f t="array" aca="1" ref="G30" ca="1">IFERROR(IF(Process!M5=TRUE,SUM(OFFSET(F12,,,Count,)/OFFSET(I12,,,Count,))^-1,""),"")</f>
        <v/>
      </c>
      <c r="H30" s="212" t="str">
        <f ca="1">IF(AND(ISNUMBER(Product[[#This Row],[LD50form]]),ISNUMBER(M_LD50_mix)),(1/Product[[#This Row],[LD50mix]])-(1/Product[[#This Row],[LD50form]]),"")</f>
        <v/>
      </c>
      <c r="I30" s="207" t="str">
        <f ca="1">IF(AND(Calculations!H30&lt;0,M_Acute_Form_Study="Limit test",NOT(ISBLANK('Mammals Acute RA'!E33))),'Mammals Acute RA'!E33,"")</f>
        <v/>
      </c>
      <c r="J30" s="214" t="str">
        <f ca="1">IF(Product[[#This Row],[Acute toxicity Driver]]=FALSE,
         IF(OR(
                AND(Product[[#This Row],[Acute test]]="Dose-response",Product[[#This Row],[Acute meas-vs-pred]]&lt;=0),
                AND(Product[[#This Row],[Acute test]]="Limit test",Product[[#This Row],[Acute meas-vs-pred]]&lt;=0,Product[[#This Row],[Acute PPP Limit-test relevance]]="Yes")),
               "Formulation","Surrogate"),
    Product[[#This Row],[Acute toxicity driver name]]&amp;" LD50")</f>
        <v>Surrogate</v>
      </c>
      <c r="K30" s="218" t="str">
        <f ca="1">IFERROR(
      IF(Product[[#This Row],[Used Acute endpoint type]]="Surrogate",M_LD50_mix,
      IF(Product[[#This Row],[Used Acute endpoint type]]="Formulation",Product[[#This Row],[LD50form]],
      IF(ISNUMBER(Product[[#This Row],[Acute toxicity Driver LD50]]),Product[[#This Row],[Acute toxicity Driver LD50]],""))),"")</f>
        <v/>
      </c>
      <c r="L30" s="216" t="b">
        <f ca="1">IF(COUNTIFS(Active[M_dev_tpfmix],"&lt;="&amp;0.1,Active[M_dev_tpfmix],"&gt;=0")&gt;0,TRUE,FALSE)</f>
        <v>0</v>
      </c>
      <c r="M30" s="138" t="str">
        <f ca="1">IFERROR(IF(Product[[#This Row],[Acute toxicity Driver]]=TRUE,INDEX(Active[Name],MATCH(MAX(Active[M_contr_LD50mix]),Active[M_contr_LD50mix],0),),""),"")</f>
        <v/>
      </c>
      <c r="N30" s="138" t="str">
        <f ca="1">IFERROR(IF(M_Driver_test=TRUE,INDEX(Active[M_LD50],MATCH(MAX(Active[M_contr_LD50mix]),Active[M_contr_LD50mix],0),),""),"")</f>
        <v/>
      </c>
      <c r="O30" s="299" t="str">
        <f>IF(AND(OR(Product[[#This Row],[Chronic test]] = "Dose-response", Product[[#This Row],[Chronic test]] = "Limit test"), ISNUMBER(Product[[#This Row],[NOAEL]]), 'Mammals Chronic RA'!H12 &lt;&gt; ""),'Mammals Chronic RA'!H12, "")</f>
        <v/>
      </c>
      <c r="P30" s="354" t="str">
        <f>IF(AND(ISNUMBER(Product[[#This Row],[NOAEL]]), Product[[#This Row],[Chronic PPP test relevance]] = "Yes"), "C(mix)", "HISUM")</f>
        <v>HISUM</v>
      </c>
    </row>
    <row r="31" spans="1:18" s="2" customFormat="1" ht="52.5">
      <c r="B31" s="295" t="s">
        <v>378</v>
      </c>
      <c r="C31" s="295" t="s">
        <v>379</v>
      </c>
      <c r="D31" s="295" t="s">
        <v>380</v>
      </c>
      <c r="E31" s="295" t="s">
        <v>381</v>
      </c>
      <c r="F31" s="295" t="s">
        <v>382</v>
      </c>
      <c r="G31" s="295" t="s">
        <v>383</v>
      </c>
      <c r="H31" s="295" t="s">
        <v>384</v>
      </c>
      <c r="I31" s="295" t="s">
        <v>385</v>
      </c>
      <c r="J31" s="295" t="s">
        <v>386</v>
      </c>
      <c r="K31" s="295" t="s">
        <v>387</v>
      </c>
      <c r="L31" s="295" t="s">
        <v>388</v>
      </c>
      <c r="M31" s="295" t="s">
        <v>389</v>
      </c>
      <c r="N31" s="295" t="s">
        <v>390</v>
      </c>
      <c r="O31" s="293"/>
    </row>
    <row r="32" spans="1:18" s="2" customFormat="1" ht="21">
      <c r="F32" s="143"/>
      <c r="G32" s="345" t="s">
        <v>339</v>
      </c>
      <c r="H32" s="345" t="s">
        <v>391</v>
      </c>
      <c r="I32" s="143"/>
      <c r="J32" s="345" t="s">
        <v>391</v>
      </c>
      <c r="K32" s="140"/>
      <c r="L32" s="140"/>
      <c r="M32" s="140"/>
      <c r="N32" s="140"/>
      <c r="O32" s="140"/>
      <c r="P32" s="140"/>
      <c r="Q32" s="142"/>
      <c r="R32" s="140"/>
    </row>
    <row r="33" spans="10:26" ht="47.85" customHeight="1">
      <c r="K33" s="263"/>
    </row>
    <row r="34" spans="10:26" ht="47.85" customHeight="1">
      <c r="K34" s="263"/>
    </row>
    <row r="35" spans="10:26" ht="47.85" customHeight="1"/>
    <row r="36" spans="10:26" ht="47.85" customHeight="1"/>
    <row r="37" spans="10:26" ht="19.5" customHeight="1"/>
    <row r="38" spans="10:26" ht="19.5" customHeight="1"/>
    <row r="39" spans="10:26" ht="19.5" customHeight="1"/>
    <row r="40" spans="10:26" ht="19.5" customHeight="1"/>
    <row r="41" spans="10:26" ht="19.5" customHeight="1"/>
    <row r="42" spans="10:26" ht="19.5" customHeight="1"/>
    <row r="43" spans="10:26" ht="19.5" customHeight="1">
      <c r="J43" s="263"/>
    </row>
    <row r="44" spans="10:26" ht="19.5" customHeight="1">
      <c r="J44" s="263"/>
    </row>
    <row r="45" spans="10:26" ht="19.5" customHeight="1">
      <c r="J45" s="263"/>
    </row>
    <row r="46" spans="10:26" ht="19.5" customHeight="1">
      <c r="J46" s="263"/>
      <c r="Z46" s="225"/>
    </row>
    <row r="47" spans="10:26" ht="19.5" customHeight="1">
      <c r="J47" s="263"/>
    </row>
    <row r="48" spans="10:26" ht="19.5" customHeight="1">
      <c r="J48" s="263"/>
    </row>
    <row r="49" spans="10:16" ht="19.5" customHeight="1">
      <c r="J49" s="263"/>
    </row>
    <row r="50" spans="10:16" ht="19.5" customHeight="1">
      <c r="J50" s="263"/>
    </row>
    <row r="51" spans="10:16" ht="19.5" customHeight="1">
      <c r="J51" s="263"/>
    </row>
    <row r="52" spans="10:16" ht="19.5" customHeight="1">
      <c r="J52" s="263"/>
    </row>
    <row r="53" spans="10:16" ht="19.5" customHeight="1">
      <c r="J53" s="263"/>
    </row>
    <row r="54" spans="10:16" ht="19.5" customHeight="1"/>
    <row r="55" spans="10:16" ht="19.5" customHeight="1">
      <c r="J55" s="261"/>
    </row>
    <row r="56" spans="10:16" ht="19.5" customHeight="1">
      <c r="J56" s="261"/>
    </row>
    <row r="57" spans="10:16" ht="19.5" customHeight="1">
      <c r="J57" s="261"/>
      <c r="N57" s="262"/>
    </row>
    <row r="58" spans="10:16" ht="19.5" customHeight="1">
      <c r="J58" s="261"/>
      <c r="K58" s="262"/>
      <c r="N58" s="262"/>
    </row>
    <row r="59" spans="10:16" ht="19.5" customHeight="1">
      <c r="J59" s="261"/>
      <c r="K59" s="262"/>
      <c r="L59" s="262"/>
      <c r="M59" s="262"/>
      <c r="N59" s="262"/>
      <c r="P59" s="262"/>
    </row>
    <row r="60" spans="10:16" ht="19.5" customHeight="1">
      <c r="J60" s="261"/>
      <c r="K60" s="262"/>
      <c r="L60" s="262"/>
      <c r="M60" s="262"/>
    </row>
    <row r="61" spans="10:16" ht="19.5" customHeight="1">
      <c r="J61" s="261"/>
    </row>
    <row r="62" spans="10:16" ht="19.5" customHeight="1">
      <c r="J62" s="261"/>
    </row>
    <row r="63" spans="10:16" ht="19.5" customHeight="1">
      <c r="J63" s="261"/>
    </row>
    <row r="64" spans="10:16" ht="19.5" customHeight="1">
      <c r="J64" s="261"/>
    </row>
    <row r="65" spans="10:10" ht="19.5" customHeight="1">
      <c r="J65" s="261"/>
    </row>
    <row r="66" spans="10:10" ht="19.5" customHeight="1">
      <c r="J66" s="261"/>
    </row>
    <row r="67" spans="10:10" ht="19.5" customHeight="1">
      <c r="J67" s="261"/>
    </row>
    <row r="68" spans="10:10" ht="19.5" customHeight="1">
      <c r="J68" s="261"/>
    </row>
    <row r="69" spans="10:10" ht="19.5" customHeight="1">
      <c r="J69" s="261"/>
    </row>
    <row r="70" spans="10:10" ht="19.5" customHeight="1">
      <c r="J70" s="261"/>
    </row>
    <row r="71" spans="10:10" ht="19.5" customHeight="1">
      <c r="J71" s="261"/>
    </row>
    <row r="72" spans="10:10" ht="19.5" customHeight="1">
      <c r="J72" s="261"/>
    </row>
    <row r="73" spans="10:10" ht="19.5" customHeight="1">
      <c r="J73" s="261"/>
    </row>
    <row r="74" spans="10:10" ht="19.5" customHeight="1">
      <c r="J74" s="261"/>
    </row>
    <row r="75" spans="10:10" ht="19.5" customHeight="1">
      <c r="J75" s="261"/>
    </row>
    <row r="76" spans="10:10" ht="19.5" customHeight="1">
      <c r="J76" s="261"/>
    </row>
    <row r="77" spans="10:10" ht="19.5" customHeight="1">
      <c r="J77" s="261"/>
    </row>
    <row r="78" spans="10:10" ht="19.5" customHeight="1">
      <c r="J78" s="261"/>
    </row>
    <row r="79" spans="10:10" ht="19.5" customHeight="1">
      <c r="J79" s="261"/>
    </row>
    <row r="80" spans="10:10" ht="19.5" customHeight="1">
      <c r="J80" s="261"/>
    </row>
    <row r="81" spans="10:10" ht="19.5" customHeight="1">
      <c r="J81" s="261"/>
    </row>
    <row r="82" spans="10:10" ht="19.5" customHeight="1"/>
    <row r="83" spans="10:10" ht="19.5" customHeight="1"/>
    <row r="84" spans="10:10" ht="19.5" customHeight="1"/>
    <row r="85" spans="10:10" ht="19.5" customHeight="1"/>
    <row r="86" spans="10:10" ht="19.5" customHeight="1"/>
    <row r="87" spans="10:10" ht="19.5" customHeight="1"/>
    <row r="88" spans="10:10" ht="19.5" customHeight="1"/>
    <row r="89" spans="10:10" ht="19.5" customHeight="1"/>
    <row r="90" spans="10:10" ht="19.5" customHeight="1"/>
    <row r="91" spans="10:10" ht="19.5" customHeight="1"/>
    <row r="92" spans="10:10" ht="19.5" customHeight="1"/>
    <row r="93" spans="10:10" ht="19.5" customHeight="1"/>
    <row r="94" spans="10:10" ht="19.5" customHeight="1"/>
    <row r="95" spans="10:10" ht="19.5" customHeight="1"/>
    <row r="96" spans="10:10"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sheetData>
  <sheetProtection algorithmName="SHA-512" hashValue="rACbut6b9aKOU3WHCLhax4PS3BMb3mNJaMU+oeviFXCgvsPjGEBl+2w0jk9TThn+5xJZrAYLNPLpKM7xfDbMtw==" saltValue="hul+zA4yBoqxIVS4slBeMw==" spinCount="100000" sheet="1" objects="1" scenarios="1" selectLockedCells="1" selectUnlockedCells="1"/>
  <mergeCells count="11">
    <mergeCell ref="C3:E3"/>
    <mergeCell ref="C2:E2"/>
    <mergeCell ref="C4:E4"/>
    <mergeCell ref="B8:F8"/>
    <mergeCell ref="C25:F25"/>
    <mergeCell ref="K8:N8"/>
    <mergeCell ref="O8:R8"/>
    <mergeCell ref="G8:H8"/>
    <mergeCell ref="I8:J8"/>
    <mergeCell ref="G25:N25"/>
    <mergeCell ref="O25:P25"/>
  </mergeCells>
  <conditionalFormatting sqref="N12:N16">
    <cfRule type="dataBar" priority="50">
      <dataBar>
        <cfvo type="min"/>
        <cfvo type="max"/>
        <color rgb="FFFFB628"/>
      </dataBar>
      <extLst>
        <ext xmlns:x14="http://schemas.microsoft.com/office/spreadsheetml/2009/9/main" uri="{B025F937-C7B1-47D3-B67F-A62EFF666E3E}">
          <x14:id>{323370DF-BB3E-40EB-8ED0-D479055B11BA}</x14:id>
        </ext>
      </extLst>
    </cfRule>
  </conditionalFormatting>
  <conditionalFormatting sqref="R12:R16">
    <cfRule type="dataBar" priority="46">
      <dataBar>
        <cfvo type="min"/>
        <cfvo type="max"/>
        <color rgb="FFFFB628"/>
      </dataBar>
      <extLst>
        <ext xmlns:x14="http://schemas.microsoft.com/office/spreadsheetml/2009/9/main" uri="{B025F937-C7B1-47D3-B67F-A62EFF666E3E}">
          <x14:id>{E66B0043-A6A4-4CEA-B636-0008F4C0A8E8}</x14:id>
        </ext>
      </extLst>
    </cfRule>
  </conditionalFormatting>
  <conditionalFormatting sqref="I29:I30">
    <cfRule type="expression" dxfId="97" priority="612">
      <formula>OR($C29&lt;&gt;"Limit test",$H29&gt;0)</formula>
    </cfRule>
  </conditionalFormatting>
  <conditionalFormatting sqref="D12:H16">
    <cfRule type="expression" dxfId="96" priority="637">
      <formula>AND($C12=TRUE,D12="")</formula>
    </cfRule>
  </conditionalFormatting>
  <conditionalFormatting sqref="I12:J16">
    <cfRule type="expression" dxfId="95" priority="638">
      <formula>AND($E12=TRUE,I12="")</formula>
    </cfRule>
  </conditionalFormatting>
  <conditionalFormatting sqref="B12:R16">
    <cfRule type="expression" dxfId="94" priority="639">
      <formula>$C12=FALSE</formula>
    </cfRule>
  </conditionalFormatting>
  <conditionalFormatting sqref="D29:D30 F29:F30">
    <cfRule type="expression" dxfId="93" priority="30">
      <formula>C29="Not available"</formula>
    </cfRule>
  </conditionalFormatting>
  <conditionalFormatting sqref="M29:N30">
    <cfRule type="expression" dxfId="92" priority="692">
      <formula>$L29=FALSE</formula>
    </cfRule>
  </conditionalFormatting>
  <pageMargins left="0.7" right="0.7" top="0.75" bottom="0.75" header="0.3" footer="0.3"/>
  <pageSetup paperSize="9" orientation="portrait" horizontalDpi="300" verticalDpi="300"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323370DF-BB3E-40EB-8ED0-D479055B11BA}">
            <x14:dataBar minLength="0" maxLength="100" gradient="0">
              <x14:cfvo type="autoMin"/>
              <x14:cfvo type="autoMax"/>
              <x14:negativeFillColor rgb="FFFF0000"/>
              <x14:axisColor rgb="FF000000"/>
            </x14:dataBar>
          </x14:cfRule>
          <xm:sqref>N12:N16</xm:sqref>
        </x14:conditionalFormatting>
        <x14:conditionalFormatting xmlns:xm="http://schemas.microsoft.com/office/excel/2006/main">
          <x14:cfRule type="dataBar" id="{E66B0043-A6A4-4CEA-B636-0008F4C0A8E8}">
            <x14:dataBar minLength="0" maxLength="100" gradient="0">
              <x14:cfvo type="autoMin"/>
              <x14:cfvo type="autoMax"/>
              <x14:negativeFillColor rgb="FFFF0000"/>
              <x14:axisColor rgb="FF000000"/>
            </x14:dataBar>
          </x14:cfRule>
          <xm:sqref>R12:R16</xm:sqref>
        </x14:conditionalFormatting>
        <x14:conditionalFormatting xmlns:xm="http://schemas.microsoft.com/office/excel/2006/main">
          <x14:cfRule type="expression" priority="763" id="{00000000-000E-0000-0600-000034000000}">
            <xm:f>Factors!$C28=FALSE</xm:f>
            <x14:dxf>
              <font>
                <color theme="0" tint="-0.499984740745262"/>
              </font>
              <fill>
                <patternFill patternType="lightUp">
                  <fgColor theme="0" tint="-0.34998626667073579"/>
                  <bgColor theme="0"/>
                </patternFill>
              </fill>
            </x14:dxf>
          </x14:cfRule>
          <xm:sqref>I12:K16 M12:O16 Q12:R16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77FE-9DA1-4246-8A51-E7C53BD1309A}">
  <dimension ref="B3:O19"/>
  <sheetViews>
    <sheetView zoomScale="70" zoomScaleNormal="70" workbookViewId="0">
      <selection activeCell="M9" sqref="M9"/>
    </sheetView>
  </sheetViews>
  <sheetFormatPr defaultColWidth="9.140625" defaultRowHeight="15"/>
  <cols>
    <col min="1" max="1" width="9.140625" style="2"/>
    <col min="2" max="2" width="13.42578125" style="2" customWidth="1"/>
    <col min="3" max="3" width="27.28515625" style="2" customWidth="1"/>
    <col min="4" max="5" width="9.28515625" style="2" customWidth="1"/>
    <col min="6" max="6" width="5.42578125" style="2" customWidth="1"/>
    <col min="7" max="7" width="9.42578125" style="385" customWidth="1"/>
    <col min="8" max="8" width="8.140625" style="373" customWidth="1"/>
    <col min="9" max="9" width="22.140625" style="2" customWidth="1"/>
    <col min="10" max="10" width="13.5703125" style="373" customWidth="1"/>
    <col min="11" max="11" width="12" style="2" customWidth="1"/>
    <col min="12" max="12" width="26.42578125" style="2" customWidth="1"/>
    <col min="13" max="13" width="13.5703125" style="2" customWidth="1"/>
    <col min="14" max="14" width="13" style="2" customWidth="1"/>
    <col min="15" max="15" width="33.28515625" style="2" customWidth="1"/>
    <col min="16" max="16" width="30.140625" style="2" customWidth="1"/>
    <col min="17" max="16384" width="9.140625" style="2"/>
  </cols>
  <sheetData>
    <row r="3" spans="2:15">
      <c r="B3" s="143" t="s">
        <v>392</v>
      </c>
      <c r="C3" s="140"/>
      <c r="D3" s="140"/>
      <c r="E3" s="143"/>
      <c r="G3" s="372" t="s">
        <v>393</v>
      </c>
    </row>
    <row r="4" spans="2:15" ht="25.5">
      <c r="B4" s="374" t="s">
        <v>3</v>
      </c>
      <c r="C4" s="374" t="s">
        <v>394</v>
      </c>
      <c r="D4" s="374" t="s">
        <v>27</v>
      </c>
      <c r="E4" s="374" t="s">
        <v>28</v>
      </c>
      <c r="G4" s="361" t="s">
        <v>395</v>
      </c>
      <c r="H4" s="364" t="s">
        <v>396</v>
      </c>
      <c r="I4" s="363" t="s">
        <v>397</v>
      </c>
      <c r="J4" s="360" t="s">
        <v>398</v>
      </c>
      <c r="K4" s="375" t="s">
        <v>399</v>
      </c>
      <c r="L4" s="366" t="s">
        <v>400</v>
      </c>
      <c r="M4" s="360" t="s">
        <v>401</v>
      </c>
      <c r="N4" s="375" t="s">
        <v>402</v>
      </c>
      <c r="O4" s="366" t="s">
        <v>403</v>
      </c>
    </row>
    <row r="5" spans="2:15" ht="52.5">
      <c r="B5" s="376" t="s">
        <v>404</v>
      </c>
      <c r="C5" s="376" t="s">
        <v>405</v>
      </c>
      <c r="D5" s="377" t="b">
        <f ca="1">IF((COUNTIF(Input!A23,"● ")+COUNTIF(Input!A11,"● "))&gt;0,FALSE,TRUE)</f>
        <v>0</v>
      </c>
      <c r="E5" s="378" t="b">
        <f ca="1">IF((COUNTIF(Input!A23,"● ")+COUNTIF(Input!A11,"● "))&gt;0,FALSE,TRUE)</f>
        <v>0</v>
      </c>
      <c r="G5" s="361" t="s">
        <v>406</v>
      </c>
      <c r="H5" s="361">
        <v>1</v>
      </c>
      <c r="I5" s="362" t="s">
        <v>407</v>
      </c>
      <c r="J5" s="363" t="b">
        <f ca="1">AND(D5=TRUE,D8=TRUE)</f>
        <v>0</v>
      </c>
      <c r="K5" s="364" t="str">
        <f ca="1">IF(Process[[#This Row],[ActiveStep_Birds]]=FALSE, "Input",
      IF(B_Driver_test=TRUE, 4,
         IF(B_Driver_test=FALSE,
             IF(B_Acute_Form_Study="Dose-response","2a",
                   IF(B_Acute_Form_Study="Limit test","2b",
                       IF(OR(B_Acute_Form_Study="Not available", B_Acute_Form_Study=""),4,
                             IF(B_Driver_test&lt;&gt;FALSE,"")))),"")))</f>
        <v>Input</v>
      </c>
      <c r="L5" s="379" t="str">
        <f ca="1">IFERROR(
    IF(Process[[#This Row],[ActiveStep_Birds]]=FALSE,C14,
       IF(AND(B_Driver_test=FALSE, OR(Process[[#This Row],[Next step (birds)]]="2a",Process[[#This Row],[Next step (birds)]]="2b")),C16,
            IF(AND(B_Driver_test=FALSE, Process[[#This Row],[Next step (birds)]]=4),C17,
               IF(B_Driver_test=TRUE,B_Driver_ID&amp;C15,""
)))),"")</f>
        <v>Fill in the required information in the 'Input' sheet.</v>
      </c>
      <c r="M5" s="366" t="b">
        <f ca="1">AND(Process!E5=TRUE,Process!E8=TRUE)</f>
        <v>0</v>
      </c>
      <c r="N5" s="364" t="str">
        <f ca="1">IF(Process[[#This Row],[ActiveStep_Mammals]]=FALSE, "Input",
      IF(M_Driver_test=TRUE, 4,
         IF(M_Driver_test=FALSE,
             IF(M_Acute_Form_Study="Dose-response","2a",
                   IF(M_Acute_Form_Study="Limit test","2b",
                       IF(OR(M_Acute_Form_Study="Not available", M_Acute_Form_Study=""),4,
                             IF(M_Driver_test&lt;&gt;FALSE,"")))),"")))</f>
        <v>Input</v>
      </c>
      <c r="O5" s="379" t="str">
        <f ca="1">IFERROR(
    IF(Process[[#This Row],[ActiveStep_Mammals]]=FALSE,Process!C14,
       IF(AND(
                  M_Driver_test=FALSE,
                  OR(Process[[#This Row],[Next step (mammals)]]="2a",Process[[#This Row],[Next step (mammals)]]="2b")),Process!C16,
        IF(AND(
                  M_Driver_test=FALSE, Process[[#This Row],[Next step (mammals)]]=4),Process!C17,
                  IF(M_Driver_test=TRUE,M_Driver_ID&amp;Process!C15,""
)))),"")</f>
        <v>Fill in the required information in the 'Input' sheet.</v>
      </c>
    </row>
    <row r="6" spans="2:15" ht="68.25" customHeight="1">
      <c r="B6" s="376" t="s">
        <v>408</v>
      </c>
      <c r="C6" s="376" t="s">
        <v>409</v>
      </c>
      <c r="D6" s="377" t="b">
        <f>IFERROR(
    IF(B_Acute_Form_Study="Not available", TRUE,
    IF(AND(
            OR(B_Acute_Form_Study="Dose-response",
                    B_Acute_Form_Study="Limit test"),
               ISNUMBER(B_LD50_form)),TRUE,FALSE)),FALSE)</f>
        <v>1</v>
      </c>
      <c r="E6" s="378" t="b">
        <f>IFERROR(
    IF(M_Acute_Form_Study="Not available", TRUE,
    IF(AND(
               OR(M_Acute_Form_Study="Dose-response",
                M_Acute_Form_Study="Limit test"),
            ISNUMBER(M_LD50_form)),TRUE,FALSE)),FALSE)</f>
        <v>1</v>
      </c>
      <c r="G6" s="361" t="s">
        <v>406</v>
      </c>
      <c r="H6" s="361">
        <v>2</v>
      </c>
      <c r="I6" s="362" t="s">
        <v>410</v>
      </c>
      <c r="J6" s="363" t="b">
        <f ca="1">AND(J5=TRUE, D6=TRUE,OR(K5="2a",K5="2b"))</f>
        <v>0</v>
      </c>
      <c r="K6" s="364" t="str">
        <f ca="1">IFERROR(
    IF(Process[[#This Row],[ActiveStep_Birds]]=TRUE,
         IF(OR(
               INDEX(Product[Acute meas-vs-pred],1)&gt;0,
               AND(INDEX(Product[Acute meas-vs-pred],1)&lt;0,K5="2b",INDEX(Product[Acute PPP Limit-test relevance],1)="No")),4,
         IF(OR(
               AND(INDEX(Product[Acute meas-vs-pred],1)&lt;0,K5="2a"),
              AND(INDEX(Product[Acute meas-vs-pred],1)&lt;0,K5="2b",INDEX(Product[Acute PPP Limit-test relevance],1)="Yes")), 4,"")),""),"")</f>
        <v/>
      </c>
      <c r="L6" s="365" t="str">
        <f ca="1">IFERROR(
       IF(Process[[#This Row],[ActiveStep_Birds]]=TRUE,
           IF(OR(B_MDR&gt;0,AND(B_MDR&lt;0,K5="2b",INDEX(Product[Acute PPP Limit-test relevance],1)="No")),Process!C18,
               IF(OR(AND(B_MDR&lt;0,K5="2a"), AND(B_MDR&lt;0,K5="2b",INDEX(Product[Acute PPP Limit-test relevance],1)="Yes")),Process!C19,"")
               ),""),"")</f>
        <v/>
      </c>
      <c r="M6" s="366" t="b">
        <f ca="1">AND(M5=TRUE, E6=TRUE,OR(N5="2a",N5="2b"))</f>
        <v>0</v>
      </c>
      <c r="N6" s="364" t="str">
        <f ca="1">IFERROR(
    IF(Process[[#This Row],[ActiveStep_Mammals]]=TRUE,
         IF(OR(
               INDEX(Product[Acute meas-vs-pred],2)&gt;0,
               AND(INDEX(Product[Acute meas-vs-pred],2)&lt;0,N5="2b",INDEX(Product[Acute PPP Limit-test relevance],2)="No")),4,
         IF(OR(
               AND(INDEX(Product[Acute meas-vs-pred],2)&lt;0,N5="2a"),
              AND(INDEX(Product[Acute meas-vs-pred],2)&lt;0,N5="2b",INDEX(Product[Acute PPP Limit-test relevance],2)="Yes")), 4,"")),""),"")</f>
        <v/>
      </c>
      <c r="O6" s="365" t="str">
        <f ca="1">IFERROR(
       IF(Process[[#This Row],[ActiveStep_Mammals]]=TRUE,
           IF(OR(M_MDR&gt;0,AND(M_MDR&lt;0,N5="2b",INDEX(Product[Acute PPP Limit-test relevance],2)="No")),Process!C18,
               IF(OR(AND(M_MDR&lt;0,N5="2a"), AND(M_MDR&lt;0,N5="2b",INDEX(Product[Acute PPP Limit-test relevance],2)="Yes")),C19,"")),""),"")</f>
        <v/>
      </c>
    </row>
    <row r="7" spans="2:15" ht="68.25" customHeight="1">
      <c r="B7" s="376" t="s">
        <v>411</v>
      </c>
      <c r="C7" s="376" t="s">
        <v>412</v>
      </c>
      <c r="D7" s="377" t="b">
        <f>IFERROR(
     IF(B_Chronic_Form_Study="Not available", TRUE,
     IF(AND(OR(B_Chronic_Form_Study="Dose-response",B_Chronic_Form_Study="Limit test"),ISNUMBER(B_NOAEL_form)),TRUE,FALSE)),FALSE)</f>
        <v>1</v>
      </c>
      <c r="E7" s="378" t="b">
        <f>IFERROR(
     IF(M_Chronic_Form_Study="Not available", TRUE,
     IF(AND(OR(M_Chronic_Form_Study="Dose-response",M_Chronic_Form_Study="Limit test"),ISNUMBER(M_NOAEL_form)),TRUE,FALSE)),FALSE)</f>
        <v>1</v>
      </c>
      <c r="G7" s="361" t="s">
        <v>406</v>
      </c>
      <c r="H7" s="367">
        <v>4</v>
      </c>
      <c r="I7" s="362" t="s">
        <v>413</v>
      </c>
      <c r="J7" s="363" t="b">
        <f ca="1">AND(J5=TRUE,D10=TRUE,OR(K5=4,K6=4))</f>
        <v>0</v>
      </c>
      <c r="K7" s="364"/>
      <c r="L7" s="365"/>
      <c r="M7" s="366" t="b">
        <f ca="1">AND(M5=TRUE,Process!E10=TRUE)</f>
        <v>0</v>
      </c>
      <c r="N7" s="364"/>
      <c r="O7" s="365"/>
    </row>
    <row r="8" spans="2:15" ht="68.25" customHeight="1">
      <c r="B8" s="376" t="s">
        <v>414</v>
      </c>
      <c r="C8" s="376" t="s">
        <v>415</v>
      </c>
      <c r="D8" s="377" t="b">
        <f ca="1">IF(Input!A25="● ",FALSE,TRUE)</f>
        <v>1</v>
      </c>
      <c r="E8" s="377" t="b">
        <f ca="1">IF(Input!A27="● ",FALSE,TRUE)</f>
        <v>1</v>
      </c>
      <c r="G8" s="380" t="s">
        <v>416</v>
      </c>
      <c r="H8" s="380"/>
      <c r="I8" s="381" t="s">
        <v>417</v>
      </c>
      <c r="J8" s="382" t="b">
        <f ca="1">IF(AND(D5=TRUE,D9=TRUE),TRUE,FALSE)</f>
        <v>0</v>
      </c>
      <c r="K8" s="383"/>
      <c r="L8" s="365"/>
      <c r="M8" s="381" t="b">
        <f ca="1">IF(AND(Process!E5=TRUE,E9=TRUE),TRUE,FALSE)</f>
        <v>0</v>
      </c>
      <c r="N8" s="383"/>
      <c r="O8" s="365"/>
    </row>
    <row r="9" spans="2:15" ht="68.25" customHeight="1">
      <c r="B9" s="376" t="s">
        <v>418</v>
      </c>
      <c r="C9" s="376" t="s">
        <v>419</v>
      </c>
      <c r="D9" s="377" t="b">
        <f ca="1">IF(Input!A26="● ",FALSE,TRUE)</f>
        <v>1</v>
      </c>
      <c r="E9" s="384" t="b">
        <f ca="1">IF(Input!A28="● ",FALSE,TRUE)</f>
        <v>1</v>
      </c>
      <c r="J9" s="295" t="s">
        <v>420</v>
      </c>
      <c r="K9" s="295" t="s">
        <v>421</v>
      </c>
      <c r="L9" s="295" t="s">
        <v>422</v>
      </c>
      <c r="M9" s="295" t="s">
        <v>423</v>
      </c>
      <c r="N9" s="295" t="s">
        <v>424</v>
      </c>
      <c r="O9" s="295" t="s">
        <v>422</v>
      </c>
    </row>
    <row r="10" spans="2:15" ht="68.25" customHeight="1">
      <c r="B10" s="376" t="s">
        <v>425</v>
      </c>
      <c r="C10" s="376" t="s">
        <v>426</v>
      </c>
      <c r="D10" s="384" t="b">
        <f>COUNTIF(Input!C35:H35,"●")&gt;0</f>
        <v>0</v>
      </c>
      <c r="E10" s="378" t="b">
        <f>COUNTIF(Input!C35:H35,"●")&gt;0</f>
        <v>0</v>
      </c>
    </row>
    <row r="13" spans="2:15">
      <c r="B13" s="268" t="s">
        <v>427</v>
      </c>
    </row>
    <row r="14" spans="2:15" ht="22.5">
      <c r="B14" s="386" t="s">
        <v>428</v>
      </c>
      <c r="C14" s="387" t="s">
        <v>429</v>
      </c>
    </row>
    <row r="15" spans="2:15" ht="63">
      <c r="B15" s="388" t="s">
        <v>430</v>
      </c>
      <c r="C15" s="387" t="s">
        <v>431</v>
      </c>
    </row>
    <row r="16" spans="2:15" ht="56.25">
      <c r="B16" s="386" t="s">
        <v>432</v>
      </c>
      <c r="C16" s="387" t="s">
        <v>433</v>
      </c>
    </row>
    <row r="17" spans="2:3" ht="67.5">
      <c r="B17" s="386" t="s">
        <v>434</v>
      </c>
      <c r="C17" s="387" t="s">
        <v>435</v>
      </c>
    </row>
    <row r="18" spans="2:3" ht="78.75">
      <c r="B18" s="386" t="s">
        <v>436</v>
      </c>
      <c r="C18" s="387" t="s">
        <v>437</v>
      </c>
    </row>
    <row r="19" spans="2:3" ht="78.75">
      <c r="B19" s="386" t="s">
        <v>438</v>
      </c>
      <c r="C19" s="387" t="s">
        <v>439</v>
      </c>
    </row>
  </sheetData>
  <sheetProtection algorithmName="SHA-512" hashValue="PplWf627aBWNbBZPnR/x0VJdRsloRxaSFkSkNIp1hiKcHnJ9XcPLka8f1HaOH08dc8FaPkoI5Co78jZP3X6wlA==" saltValue="hOzxFmMLrNhqo85TrHNzuQ==" spinCount="100000" sheet="1" objects="1" scenarios="1"/>
  <conditionalFormatting sqref="D5:E10 J5:J8 M5:M8">
    <cfRule type="expression" dxfId="49" priority="7">
      <formula>D5=TRUE</formula>
    </cfRule>
    <cfRule type="expression" dxfId="48" priority="8">
      <formula>D5=FALSE</formula>
    </cfRule>
  </conditionalFormatting>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05332-15CE-43C3-B08C-B723FF71C181}">
  <dimension ref="B1:P178"/>
  <sheetViews>
    <sheetView showGridLines="0" zoomScale="70" zoomScaleNormal="70" workbookViewId="0">
      <selection activeCell="F32" sqref="F32"/>
    </sheetView>
  </sheetViews>
  <sheetFormatPr defaultRowHeight="15"/>
  <cols>
    <col min="2" max="2" width="26.140625" bestFit="1" customWidth="1"/>
    <col min="3" max="3" width="15.85546875" bestFit="1" customWidth="1"/>
    <col min="4" max="4" width="15.28515625" customWidth="1"/>
    <col min="5" max="5" width="39.140625" bestFit="1" customWidth="1"/>
    <col min="6" max="6" width="37.7109375" bestFit="1" customWidth="1"/>
    <col min="7" max="7" width="11.140625" bestFit="1" customWidth="1"/>
    <col min="8" max="8" width="10.140625" bestFit="1" customWidth="1"/>
    <col min="10" max="10" width="26" bestFit="1" customWidth="1"/>
    <col min="11" max="11" width="12" bestFit="1" customWidth="1"/>
    <col min="12" max="12" width="34.85546875" customWidth="1"/>
    <col min="13" max="13" width="43.5703125" customWidth="1"/>
    <col min="14" max="14" width="40.5703125" bestFit="1" customWidth="1"/>
    <col min="15" max="15" width="11.140625" bestFit="1" customWidth="1"/>
    <col min="16" max="16" width="10.140625" bestFit="1" customWidth="1"/>
  </cols>
  <sheetData>
    <row r="1" spans="2:7">
      <c r="B1" s="226" t="s">
        <v>440</v>
      </c>
    </row>
    <row r="2" spans="2:7">
      <c r="B2" s="229" t="s">
        <v>425</v>
      </c>
      <c r="C2" s="94" t="s">
        <v>28</v>
      </c>
      <c r="D2" s="94" t="s">
        <v>27</v>
      </c>
      <c r="F2" s="226"/>
      <c r="G2" s="225"/>
    </row>
    <row r="3" spans="2:7">
      <c r="B3" s="237" t="s">
        <v>99</v>
      </c>
      <c r="C3" s="92">
        <v>1</v>
      </c>
      <c r="D3" s="92">
        <v>3</v>
      </c>
      <c r="F3" s="230"/>
      <c r="G3" s="230"/>
    </row>
    <row r="4" spans="2:7">
      <c r="B4" s="243" t="s">
        <v>107</v>
      </c>
      <c r="C4" s="92">
        <v>5</v>
      </c>
      <c r="D4" s="92">
        <v>6</v>
      </c>
    </row>
    <row r="5" spans="2:7">
      <c r="B5" s="243" t="s">
        <v>112</v>
      </c>
      <c r="C5" s="92">
        <v>9</v>
      </c>
      <c r="D5" s="92">
        <v>2</v>
      </c>
    </row>
    <row r="6" spans="2:7">
      <c r="B6" s="243" t="s">
        <v>118</v>
      </c>
      <c r="C6" s="92">
        <v>7</v>
      </c>
      <c r="D6" s="92">
        <v>6</v>
      </c>
    </row>
    <row r="7" spans="2:7">
      <c r="B7" s="243" t="s">
        <v>129</v>
      </c>
      <c r="C7" s="92">
        <v>6</v>
      </c>
      <c r="D7" s="92">
        <v>4</v>
      </c>
    </row>
    <row r="8" spans="2:7">
      <c r="B8" s="243" t="s">
        <v>135</v>
      </c>
      <c r="C8" s="92">
        <v>7</v>
      </c>
      <c r="D8" s="92">
        <v>8</v>
      </c>
    </row>
    <row r="9" spans="2:7">
      <c r="B9" s="243" t="s">
        <v>139</v>
      </c>
      <c r="C9" s="92">
        <v>5</v>
      </c>
      <c r="D9" s="92">
        <v>4</v>
      </c>
    </row>
    <row r="10" spans="2:7">
      <c r="B10" s="266" t="s">
        <v>143</v>
      </c>
      <c r="C10" s="93">
        <v>6</v>
      </c>
      <c r="D10" s="93">
        <v>5</v>
      </c>
    </row>
    <row r="11" spans="2:7">
      <c r="B11" s="266" t="s">
        <v>147</v>
      </c>
      <c r="C11" s="93">
        <v>7</v>
      </c>
      <c r="D11" s="93">
        <v>7</v>
      </c>
      <c r="F11" s="71"/>
      <c r="G11" s="71"/>
    </row>
    <row r="12" spans="2:7">
      <c r="B12" s="266" t="s">
        <v>152</v>
      </c>
      <c r="C12" s="93">
        <v>7</v>
      </c>
      <c r="D12" s="93">
        <v>7</v>
      </c>
      <c r="F12" s="71"/>
      <c r="G12" s="71"/>
    </row>
    <row r="13" spans="2:7">
      <c r="B13" s="266" t="s">
        <v>154</v>
      </c>
      <c r="C13" s="93">
        <v>8</v>
      </c>
      <c r="D13" s="93">
        <v>13</v>
      </c>
      <c r="F13" s="71"/>
      <c r="G13" s="71"/>
    </row>
    <row r="14" spans="2:7">
      <c r="B14" s="266" t="s">
        <v>160</v>
      </c>
      <c r="C14" s="93">
        <v>7</v>
      </c>
      <c r="D14" s="93">
        <v>12</v>
      </c>
      <c r="F14" s="71"/>
      <c r="G14" s="71"/>
    </row>
    <row r="15" spans="2:7">
      <c r="B15" s="266" t="s">
        <v>167</v>
      </c>
      <c r="C15" s="93">
        <v>14</v>
      </c>
      <c r="D15" s="93">
        <v>9</v>
      </c>
      <c r="F15" s="71"/>
      <c r="G15" s="71"/>
    </row>
    <row r="16" spans="2:7">
      <c r="B16" s="266" t="s">
        <v>175</v>
      </c>
      <c r="C16" s="93">
        <v>5</v>
      </c>
      <c r="D16" s="93">
        <v>2</v>
      </c>
      <c r="F16" s="71"/>
      <c r="G16" s="71"/>
    </row>
    <row r="17" spans="2:16">
      <c r="B17" s="266" t="s">
        <v>178</v>
      </c>
      <c r="C17" s="93">
        <v>7</v>
      </c>
      <c r="D17" s="93">
        <v>4</v>
      </c>
      <c r="F17" s="71"/>
      <c r="G17" s="71"/>
    </row>
    <row r="18" spans="2:16">
      <c r="B18" s="266" t="s">
        <v>179</v>
      </c>
      <c r="C18" s="93">
        <v>9</v>
      </c>
      <c r="D18" s="93">
        <v>7</v>
      </c>
      <c r="F18" s="71"/>
      <c r="G18" s="71"/>
    </row>
    <row r="19" spans="2:16">
      <c r="B19" s="266" t="s">
        <v>180</v>
      </c>
      <c r="C19" s="93">
        <v>5</v>
      </c>
      <c r="D19" s="93">
        <v>6</v>
      </c>
      <c r="F19" s="71"/>
      <c r="G19" s="71"/>
    </row>
    <row r="20" spans="2:16">
      <c r="B20" s="266" t="s">
        <v>181</v>
      </c>
      <c r="C20" s="93">
        <v>7</v>
      </c>
      <c r="D20" s="93">
        <v>5</v>
      </c>
      <c r="F20" s="71"/>
      <c r="G20" s="71"/>
    </row>
    <row r="21" spans="2:16">
      <c r="B21" s="266" t="s">
        <v>229</v>
      </c>
      <c r="C21" s="93">
        <v>7</v>
      </c>
      <c r="D21" s="93">
        <v>6</v>
      </c>
      <c r="F21" s="71"/>
      <c r="G21" s="71"/>
    </row>
    <row r="22" spans="2:16">
      <c r="B22" s="266" t="s">
        <v>187</v>
      </c>
      <c r="C22" s="93">
        <v>9</v>
      </c>
      <c r="D22" s="93">
        <v>3</v>
      </c>
      <c r="F22" s="71"/>
      <c r="G22" s="71"/>
    </row>
    <row r="23" spans="2:16">
      <c r="B23" s="266" t="s">
        <v>191</v>
      </c>
      <c r="C23" s="93">
        <v>14</v>
      </c>
      <c r="D23" s="93">
        <v>9</v>
      </c>
      <c r="F23" s="71"/>
      <c r="G23" s="71"/>
    </row>
    <row r="25" spans="2:16">
      <c r="B25" s="230" t="s">
        <v>441</v>
      </c>
      <c r="J25" s="230" t="s">
        <v>442</v>
      </c>
    </row>
    <row r="26" spans="2:16">
      <c r="B26" s="1" t="s">
        <v>91</v>
      </c>
      <c r="C26" s="1" t="s">
        <v>443</v>
      </c>
      <c r="D26" s="1" t="s">
        <v>92</v>
      </c>
      <c r="E26" s="1" t="s">
        <v>93</v>
      </c>
      <c r="F26" s="1" t="s">
        <v>94</v>
      </c>
      <c r="G26" s="1" t="s">
        <v>444</v>
      </c>
      <c r="H26" s="1" t="s">
        <v>445</v>
      </c>
      <c r="J26" s="1" t="s">
        <v>91</v>
      </c>
      <c r="K26" s="1" t="s">
        <v>443</v>
      </c>
      <c r="L26" s="1" t="s">
        <v>92</v>
      </c>
      <c r="M26" s="1" t="s">
        <v>93</v>
      </c>
      <c r="N26" s="1" t="s">
        <v>94</v>
      </c>
      <c r="O26" s="1" t="s">
        <v>444</v>
      </c>
      <c r="P26" s="1" t="s">
        <v>445</v>
      </c>
    </row>
    <row r="27" spans="2:16">
      <c r="B27" s="225" t="s">
        <v>99</v>
      </c>
      <c r="C27" s="225" t="s">
        <v>28</v>
      </c>
      <c r="D27" s="225" t="s">
        <v>100</v>
      </c>
      <c r="E27" s="225" t="s">
        <v>271</v>
      </c>
      <c r="F27" s="225" t="s">
        <v>446</v>
      </c>
      <c r="G27" s="267">
        <v>14.3</v>
      </c>
      <c r="H27" s="267">
        <v>5.7</v>
      </c>
      <c r="J27" s="264" t="s">
        <v>99</v>
      </c>
      <c r="K27" s="264" t="s">
        <v>27</v>
      </c>
      <c r="L27" s="264" t="s">
        <v>100</v>
      </c>
      <c r="M27" s="264" t="s">
        <v>209</v>
      </c>
      <c r="N27" s="264" t="s">
        <v>447</v>
      </c>
      <c r="O27" s="265">
        <v>24.7</v>
      </c>
      <c r="P27" s="265">
        <v>11.4</v>
      </c>
    </row>
    <row r="28" spans="2:16">
      <c r="B28" s="264" t="s">
        <v>107</v>
      </c>
      <c r="C28" s="264" t="s">
        <v>28</v>
      </c>
      <c r="D28" s="264" t="s">
        <v>240</v>
      </c>
      <c r="E28" s="264" t="s">
        <v>272</v>
      </c>
      <c r="F28" s="264" t="s">
        <v>448</v>
      </c>
      <c r="G28" s="265">
        <v>7.6</v>
      </c>
      <c r="H28" s="265">
        <v>4.2</v>
      </c>
      <c r="J28" s="264" t="s">
        <v>99</v>
      </c>
      <c r="K28" s="264" t="s">
        <v>27</v>
      </c>
      <c r="L28" s="264" t="s">
        <v>100</v>
      </c>
      <c r="M28" s="264" t="s">
        <v>210</v>
      </c>
      <c r="N28" s="264" t="s">
        <v>449</v>
      </c>
      <c r="O28" s="265">
        <v>17.399999999999999</v>
      </c>
      <c r="P28" s="265">
        <v>8.1999999999999993</v>
      </c>
    </row>
    <row r="29" spans="2:16">
      <c r="B29" s="264" t="s">
        <v>107</v>
      </c>
      <c r="C29" s="264" t="s">
        <v>28</v>
      </c>
      <c r="D29" s="264" t="s">
        <v>110</v>
      </c>
      <c r="E29" s="264" t="s">
        <v>271</v>
      </c>
      <c r="F29" s="264" t="s">
        <v>446</v>
      </c>
      <c r="G29" s="265">
        <v>17.2</v>
      </c>
      <c r="H29" s="265">
        <v>7.8</v>
      </c>
      <c r="J29" s="264" t="s">
        <v>99</v>
      </c>
      <c r="K29" s="264" t="s">
        <v>27</v>
      </c>
      <c r="L29" s="264" t="s">
        <v>100</v>
      </c>
      <c r="M29" s="264" t="s">
        <v>211</v>
      </c>
      <c r="N29" s="264" t="s">
        <v>450</v>
      </c>
      <c r="O29" s="265">
        <v>10.9</v>
      </c>
      <c r="P29" s="265">
        <v>5.9</v>
      </c>
    </row>
    <row r="30" spans="2:16">
      <c r="B30" s="264" t="s">
        <v>107</v>
      </c>
      <c r="C30" s="264" t="s">
        <v>28</v>
      </c>
      <c r="D30" s="264" t="s">
        <v>111</v>
      </c>
      <c r="E30" s="264" t="s">
        <v>272</v>
      </c>
      <c r="F30" s="264" t="s">
        <v>448</v>
      </c>
      <c r="G30" s="265">
        <v>5.4</v>
      </c>
      <c r="H30" s="265">
        <v>1.9</v>
      </c>
      <c r="J30" s="264" t="s">
        <v>107</v>
      </c>
      <c r="K30" s="264" t="s">
        <v>27</v>
      </c>
      <c r="L30" s="264" t="s">
        <v>108</v>
      </c>
      <c r="M30" s="264" t="s">
        <v>211</v>
      </c>
      <c r="N30" s="264" t="s">
        <v>450</v>
      </c>
      <c r="O30" s="265">
        <v>26.8</v>
      </c>
      <c r="P30" s="265">
        <v>11.3</v>
      </c>
    </row>
    <row r="31" spans="2:16">
      <c r="B31" s="264" t="s">
        <v>107</v>
      </c>
      <c r="C31" s="264" t="s">
        <v>28</v>
      </c>
      <c r="D31" s="264" t="s">
        <v>109</v>
      </c>
      <c r="E31" s="264" t="s">
        <v>273</v>
      </c>
      <c r="F31" s="264" t="s">
        <v>451</v>
      </c>
      <c r="G31" s="265">
        <v>81.900000000000006</v>
      </c>
      <c r="H31" s="265">
        <v>43.4</v>
      </c>
      <c r="J31" s="264" t="s">
        <v>107</v>
      </c>
      <c r="K31" s="264" t="s">
        <v>27</v>
      </c>
      <c r="L31" s="264" t="s">
        <v>109</v>
      </c>
      <c r="M31" s="264" t="s">
        <v>209</v>
      </c>
      <c r="N31" s="264" t="s">
        <v>447</v>
      </c>
      <c r="O31" s="265">
        <v>14.8</v>
      </c>
      <c r="P31" s="265">
        <v>6.9</v>
      </c>
    </row>
    <row r="32" spans="2:16">
      <c r="B32" s="264" t="s">
        <v>107</v>
      </c>
      <c r="C32" s="264" t="s">
        <v>28</v>
      </c>
      <c r="D32" s="264" t="s">
        <v>109</v>
      </c>
      <c r="E32" s="264" t="s">
        <v>271</v>
      </c>
      <c r="F32" s="264" t="s">
        <v>446</v>
      </c>
      <c r="G32" s="265">
        <v>10.3</v>
      </c>
      <c r="H32" s="265">
        <v>4.7</v>
      </c>
      <c r="J32" s="264" t="s">
        <v>107</v>
      </c>
      <c r="K32" s="264" t="s">
        <v>27</v>
      </c>
      <c r="L32" s="264" t="s">
        <v>110</v>
      </c>
      <c r="M32" s="264" t="s">
        <v>209</v>
      </c>
      <c r="N32" s="264" t="s">
        <v>447</v>
      </c>
      <c r="O32" s="265">
        <v>24.7</v>
      </c>
      <c r="P32" s="265">
        <v>11.4</v>
      </c>
    </row>
    <row r="33" spans="2:16">
      <c r="B33" s="264" t="s">
        <v>112</v>
      </c>
      <c r="C33" s="264" t="s">
        <v>28</v>
      </c>
      <c r="D33" s="264" t="s">
        <v>108</v>
      </c>
      <c r="E33" s="264" t="s">
        <v>272</v>
      </c>
      <c r="F33" s="264" t="s">
        <v>448</v>
      </c>
      <c r="G33" s="265">
        <v>7.6</v>
      </c>
      <c r="H33" s="265">
        <v>4.2</v>
      </c>
      <c r="J33" s="264" t="s">
        <v>107</v>
      </c>
      <c r="K33" s="264" t="s">
        <v>27</v>
      </c>
      <c r="L33" s="264" t="s">
        <v>109</v>
      </c>
      <c r="M33" s="264" t="s">
        <v>210</v>
      </c>
      <c r="N33" s="264" t="s">
        <v>449</v>
      </c>
      <c r="O33" s="265">
        <v>14.4</v>
      </c>
      <c r="P33" s="265">
        <v>6.5</v>
      </c>
    </row>
    <row r="34" spans="2:16">
      <c r="B34" s="264" t="s">
        <v>112</v>
      </c>
      <c r="C34" s="264" t="s">
        <v>28</v>
      </c>
      <c r="D34" s="264" t="s">
        <v>111</v>
      </c>
      <c r="E34" s="264" t="s">
        <v>272</v>
      </c>
      <c r="F34" s="264" t="s">
        <v>448</v>
      </c>
      <c r="G34" s="265">
        <v>5.4</v>
      </c>
      <c r="H34" s="265">
        <v>1.9</v>
      </c>
      <c r="J34" s="264" t="s">
        <v>107</v>
      </c>
      <c r="K34" s="264" t="s">
        <v>27</v>
      </c>
      <c r="L34" s="264" t="s">
        <v>110</v>
      </c>
      <c r="M34" s="264" t="s">
        <v>210</v>
      </c>
      <c r="N34" s="264" t="s">
        <v>449</v>
      </c>
      <c r="O34" s="265">
        <v>24</v>
      </c>
      <c r="P34" s="265">
        <v>10.9</v>
      </c>
    </row>
    <row r="35" spans="2:16">
      <c r="B35" s="264" t="s">
        <v>112</v>
      </c>
      <c r="C35" s="264" t="s">
        <v>28</v>
      </c>
      <c r="D35" s="264" t="s">
        <v>108</v>
      </c>
      <c r="E35" s="264" t="s">
        <v>273</v>
      </c>
      <c r="F35" s="264" t="s">
        <v>451</v>
      </c>
      <c r="G35" s="265">
        <v>81.900000000000006</v>
      </c>
      <c r="H35" s="265">
        <v>43.4</v>
      </c>
      <c r="J35" s="264" t="s">
        <v>107</v>
      </c>
      <c r="K35" s="264" t="s">
        <v>27</v>
      </c>
      <c r="L35" s="264" t="s">
        <v>111</v>
      </c>
      <c r="M35" s="264" t="s">
        <v>211</v>
      </c>
      <c r="N35" s="264" t="s">
        <v>450</v>
      </c>
      <c r="O35" s="265">
        <v>25.2</v>
      </c>
      <c r="P35" s="265">
        <v>9.6999999999999993</v>
      </c>
    </row>
    <row r="36" spans="2:16">
      <c r="B36" s="264" t="s">
        <v>112</v>
      </c>
      <c r="C36" s="264" t="s">
        <v>28</v>
      </c>
      <c r="D36" s="264" t="s">
        <v>146</v>
      </c>
      <c r="E36" s="264" t="s">
        <v>273</v>
      </c>
      <c r="F36" s="264" t="s">
        <v>451</v>
      </c>
      <c r="G36" s="265">
        <v>68.2</v>
      </c>
      <c r="H36" s="265">
        <v>36.1</v>
      </c>
      <c r="J36" s="264" t="s">
        <v>112</v>
      </c>
      <c r="K36" s="264" t="s">
        <v>27</v>
      </c>
      <c r="L36" s="264" t="s">
        <v>113</v>
      </c>
      <c r="M36" s="264" t="s">
        <v>212</v>
      </c>
      <c r="N36" s="264" t="s">
        <v>452</v>
      </c>
      <c r="O36" s="265">
        <v>46.3</v>
      </c>
      <c r="P36" s="265">
        <v>23</v>
      </c>
    </row>
    <row r="37" spans="2:16">
      <c r="B37" s="264" t="s">
        <v>112</v>
      </c>
      <c r="C37" s="264" t="s">
        <v>28</v>
      </c>
      <c r="D37" s="264" t="s">
        <v>109</v>
      </c>
      <c r="E37" s="264" t="s">
        <v>273</v>
      </c>
      <c r="F37" s="264" t="s">
        <v>451</v>
      </c>
      <c r="G37" s="265">
        <v>40.9</v>
      </c>
      <c r="H37" s="265">
        <v>21.7</v>
      </c>
      <c r="J37" s="264" t="s">
        <v>112</v>
      </c>
      <c r="K37" s="264" t="s">
        <v>27</v>
      </c>
      <c r="L37" s="264" t="s">
        <v>116</v>
      </c>
      <c r="M37" s="264" t="s">
        <v>213</v>
      </c>
      <c r="N37" s="264" t="s">
        <v>453</v>
      </c>
      <c r="O37" s="265">
        <v>52.2</v>
      </c>
      <c r="P37" s="265">
        <v>20.3</v>
      </c>
    </row>
    <row r="38" spans="2:16">
      <c r="B38" s="264" t="s">
        <v>112</v>
      </c>
      <c r="C38" s="264" t="s">
        <v>28</v>
      </c>
      <c r="D38" s="264" t="s">
        <v>146</v>
      </c>
      <c r="E38" s="264" t="s">
        <v>271</v>
      </c>
      <c r="F38" s="264" t="s">
        <v>446</v>
      </c>
      <c r="G38" s="265">
        <v>8.6</v>
      </c>
      <c r="H38" s="265">
        <v>3.9</v>
      </c>
      <c r="J38" s="264" t="s">
        <v>118</v>
      </c>
      <c r="K38" s="264" t="s">
        <v>27</v>
      </c>
      <c r="L38" s="264" t="s">
        <v>119</v>
      </c>
      <c r="M38" s="264" t="s">
        <v>210</v>
      </c>
      <c r="N38" s="264" t="s">
        <v>449</v>
      </c>
      <c r="O38" s="265">
        <v>24</v>
      </c>
      <c r="P38" s="265">
        <v>10.9</v>
      </c>
    </row>
    <row r="39" spans="2:16">
      <c r="B39" s="264" t="s">
        <v>112</v>
      </c>
      <c r="C39" s="264" t="s">
        <v>28</v>
      </c>
      <c r="D39" s="264" t="s">
        <v>108</v>
      </c>
      <c r="E39" s="264" t="s">
        <v>271</v>
      </c>
      <c r="F39" s="264" t="s">
        <v>446</v>
      </c>
      <c r="G39" s="265">
        <v>10.3</v>
      </c>
      <c r="H39" s="265">
        <v>4.7</v>
      </c>
      <c r="J39" s="264" t="s">
        <v>118</v>
      </c>
      <c r="K39" s="264" t="s">
        <v>27</v>
      </c>
      <c r="L39" s="264" t="s">
        <v>120</v>
      </c>
      <c r="M39" s="264" t="s">
        <v>214</v>
      </c>
      <c r="N39" s="264" t="s">
        <v>454</v>
      </c>
      <c r="O39" s="265">
        <v>30.5</v>
      </c>
      <c r="P39" s="265">
        <v>16.2</v>
      </c>
    </row>
    <row r="40" spans="2:16">
      <c r="B40" s="264" t="s">
        <v>112</v>
      </c>
      <c r="C40" s="264" t="s">
        <v>28</v>
      </c>
      <c r="D40" s="264" t="s">
        <v>245</v>
      </c>
      <c r="E40" s="264" t="s">
        <v>274</v>
      </c>
      <c r="F40" s="264" t="s">
        <v>455</v>
      </c>
      <c r="G40" s="265">
        <v>19.399999999999999</v>
      </c>
      <c r="H40" s="265">
        <v>9.6999999999999993</v>
      </c>
      <c r="J40" s="264" t="s">
        <v>118</v>
      </c>
      <c r="K40" s="264" t="s">
        <v>27</v>
      </c>
      <c r="L40" s="264" t="s">
        <v>123</v>
      </c>
      <c r="M40" s="264" t="s">
        <v>210</v>
      </c>
      <c r="N40" s="264" t="s">
        <v>449</v>
      </c>
      <c r="O40" s="265">
        <v>12</v>
      </c>
      <c r="P40" s="265">
        <v>5.4</v>
      </c>
    </row>
    <row r="41" spans="2:16">
      <c r="B41" s="264" t="s">
        <v>112</v>
      </c>
      <c r="C41" s="264" t="s">
        <v>28</v>
      </c>
      <c r="D41" s="264" t="s">
        <v>109</v>
      </c>
      <c r="E41" s="264" t="s">
        <v>271</v>
      </c>
      <c r="F41" s="264" t="s">
        <v>446</v>
      </c>
      <c r="G41" s="265">
        <v>5.2</v>
      </c>
      <c r="H41" s="265">
        <v>2.2999999999999998</v>
      </c>
      <c r="J41" s="264" t="s">
        <v>118</v>
      </c>
      <c r="K41" s="264" t="s">
        <v>27</v>
      </c>
      <c r="L41" s="264" t="s">
        <v>124</v>
      </c>
      <c r="M41" s="264" t="s">
        <v>215</v>
      </c>
      <c r="N41" s="264" t="s">
        <v>125</v>
      </c>
      <c r="O41" s="265">
        <v>57.6</v>
      </c>
      <c r="P41" s="265">
        <v>22.4</v>
      </c>
    </row>
    <row r="42" spans="2:16">
      <c r="B42" s="264" t="s">
        <v>118</v>
      </c>
      <c r="C42" s="264" t="s">
        <v>28</v>
      </c>
      <c r="D42" s="264" t="s">
        <v>108</v>
      </c>
      <c r="E42" s="264" t="s">
        <v>272</v>
      </c>
      <c r="F42" s="264" t="s">
        <v>448</v>
      </c>
      <c r="G42" s="265">
        <v>7.6</v>
      </c>
      <c r="H42" s="265">
        <v>4.2</v>
      </c>
      <c r="J42" s="264" t="s">
        <v>118</v>
      </c>
      <c r="K42" s="264" t="s">
        <v>27</v>
      </c>
      <c r="L42" s="264" t="s">
        <v>109</v>
      </c>
      <c r="M42" s="264" t="s">
        <v>210</v>
      </c>
      <c r="N42" s="264" t="s">
        <v>449</v>
      </c>
      <c r="O42" s="265">
        <v>7.2</v>
      </c>
      <c r="P42" s="265">
        <v>3.3</v>
      </c>
    </row>
    <row r="43" spans="2:16">
      <c r="B43" s="264" t="s">
        <v>118</v>
      </c>
      <c r="C43" s="264" t="s">
        <v>28</v>
      </c>
      <c r="D43" s="264" t="s">
        <v>111</v>
      </c>
      <c r="E43" s="264" t="s">
        <v>272</v>
      </c>
      <c r="F43" s="264" t="s">
        <v>448</v>
      </c>
      <c r="G43" s="265">
        <v>5.4</v>
      </c>
      <c r="H43" s="265">
        <v>1.9</v>
      </c>
      <c r="J43" s="264" t="s">
        <v>118</v>
      </c>
      <c r="K43" s="264" t="s">
        <v>27</v>
      </c>
      <c r="L43" s="264" t="s">
        <v>126</v>
      </c>
      <c r="M43" s="264" t="s">
        <v>216</v>
      </c>
      <c r="N43" s="264" t="s">
        <v>456</v>
      </c>
      <c r="O43" s="265">
        <v>27</v>
      </c>
      <c r="P43" s="265">
        <v>12.5</v>
      </c>
    </row>
    <row r="44" spans="2:16">
      <c r="B44" s="264" t="s">
        <v>118</v>
      </c>
      <c r="C44" s="264" t="s">
        <v>28</v>
      </c>
      <c r="D44" s="264" t="s">
        <v>109</v>
      </c>
      <c r="E44" s="264" t="s">
        <v>273</v>
      </c>
      <c r="F44" s="264" t="s">
        <v>451</v>
      </c>
      <c r="G44" s="265">
        <v>40.9</v>
      </c>
      <c r="H44" s="265">
        <v>21.7</v>
      </c>
      <c r="J44" s="264" t="s">
        <v>129</v>
      </c>
      <c r="K44" s="264" t="s">
        <v>27</v>
      </c>
      <c r="L44" s="264" t="s">
        <v>108</v>
      </c>
      <c r="M44" s="264" t="s">
        <v>217</v>
      </c>
      <c r="N44" s="264" t="s">
        <v>457</v>
      </c>
      <c r="O44" s="265">
        <v>4.2</v>
      </c>
      <c r="P44" s="265">
        <v>2.2999999999999998</v>
      </c>
    </row>
    <row r="45" spans="2:16">
      <c r="B45" s="264" t="s">
        <v>118</v>
      </c>
      <c r="C45" s="264" t="s">
        <v>28</v>
      </c>
      <c r="D45" s="264" t="s">
        <v>248</v>
      </c>
      <c r="E45" s="264" t="s">
        <v>275</v>
      </c>
      <c r="F45" s="264" t="s">
        <v>458</v>
      </c>
      <c r="G45" s="265">
        <v>42.1</v>
      </c>
      <c r="H45" s="265">
        <v>22.3</v>
      </c>
      <c r="J45" s="264" t="s">
        <v>129</v>
      </c>
      <c r="K45" s="264" t="s">
        <v>27</v>
      </c>
      <c r="L45" s="264" t="s">
        <v>111</v>
      </c>
      <c r="M45" s="264" t="s">
        <v>217</v>
      </c>
      <c r="N45" s="264" t="s">
        <v>457</v>
      </c>
      <c r="O45" s="265">
        <v>3</v>
      </c>
      <c r="P45" s="265">
        <v>1.1000000000000001</v>
      </c>
    </row>
    <row r="46" spans="2:16">
      <c r="B46" s="264" t="s">
        <v>118</v>
      </c>
      <c r="C46" s="264" t="s">
        <v>28</v>
      </c>
      <c r="D46" s="264" t="s">
        <v>119</v>
      </c>
      <c r="E46" s="264" t="s">
        <v>271</v>
      </c>
      <c r="F46" s="264" t="s">
        <v>446</v>
      </c>
      <c r="G46" s="265">
        <v>17.2</v>
      </c>
      <c r="H46" s="265">
        <v>7.8</v>
      </c>
      <c r="J46" s="264" t="s">
        <v>129</v>
      </c>
      <c r="K46" s="264" t="s">
        <v>27</v>
      </c>
      <c r="L46" s="264" t="s">
        <v>132</v>
      </c>
      <c r="M46" s="264" t="s">
        <v>218</v>
      </c>
      <c r="N46" s="264" t="s">
        <v>459</v>
      </c>
      <c r="O46" s="265">
        <v>17.7</v>
      </c>
      <c r="P46" s="265">
        <v>11.2</v>
      </c>
    </row>
    <row r="47" spans="2:16">
      <c r="B47" s="264" t="s">
        <v>118</v>
      </c>
      <c r="C47" s="264" t="s">
        <v>28</v>
      </c>
      <c r="D47" s="264" t="s">
        <v>123</v>
      </c>
      <c r="E47" s="264" t="s">
        <v>271</v>
      </c>
      <c r="F47" s="264" t="s">
        <v>446</v>
      </c>
      <c r="G47" s="265">
        <v>8.6</v>
      </c>
      <c r="H47" s="265">
        <v>3.9</v>
      </c>
      <c r="J47" s="264" t="s">
        <v>129</v>
      </c>
      <c r="K47" s="264" t="s">
        <v>27</v>
      </c>
      <c r="L47" s="264" t="s">
        <v>134</v>
      </c>
      <c r="M47" s="264" t="s">
        <v>218</v>
      </c>
      <c r="N47" s="264" t="s">
        <v>459</v>
      </c>
      <c r="O47" s="265">
        <v>4.4000000000000004</v>
      </c>
      <c r="P47" s="265">
        <v>2.8</v>
      </c>
    </row>
    <row r="48" spans="2:16">
      <c r="B48" s="264" t="s">
        <v>118</v>
      </c>
      <c r="C48" s="264" t="s">
        <v>28</v>
      </c>
      <c r="D48" s="264" t="s">
        <v>109</v>
      </c>
      <c r="E48" s="264" t="s">
        <v>271</v>
      </c>
      <c r="F48" s="264" t="s">
        <v>446</v>
      </c>
      <c r="G48" s="265">
        <v>5.2</v>
      </c>
      <c r="H48" s="265">
        <v>2.2999999999999998</v>
      </c>
      <c r="J48" s="264" t="s">
        <v>135</v>
      </c>
      <c r="K48" s="264" t="s">
        <v>27</v>
      </c>
      <c r="L48" s="264" t="s">
        <v>136</v>
      </c>
      <c r="M48" s="264" t="s">
        <v>219</v>
      </c>
      <c r="N48" s="264" t="s">
        <v>460</v>
      </c>
      <c r="O48" s="265">
        <v>57.4</v>
      </c>
      <c r="P48" s="265">
        <v>32</v>
      </c>
    </row>
    <row r="49" spans="2:16">
      <c r="B49" s="264" t="s">
        <v>129</v>
      </c>
      <c r="C49" s="264" t="s">
        <v>28</v>
      </c>
      <c r="D49" s="264" t="s">
        <v>108</v>
      </c>
      <c r="E49" s="264" t="s">
        <v>272</v>
      </c>
      <c r="F49" s="264" t="s">
        <v>448</v>
      </c>
      <c r="G49" s="265">
        <v>7.6</v>
      </c>
      <c r="H49" s="265">
        <v>4.2</v>
      </c>
      <c r="J49" s="264" t="s">
        <v>135</v>
      </c>
      <c r="K49" s="264" t="s">
        <v>27</v>
      </c>
      <c r="L49" s="264" t="s">
        <v>132</v>
      </c>
      <c r="M49" s="264" t="s">
        <v>209</v>
      </c>
      <c r="N49" s="264" t="s">
        <v>447</v>
      </c>
      <c r="O49" s="265">
        <v>24.7</v>
      </c>
      <c r="P49" s="265">
        <v>11.4</v>
      </c>
    </row>
    <row r="50" spans="2:16">
      <c r="B50" s="264" t="s">
        <v>129</v>
      </c>
      <c r="C50" s="264" t="s">
        <v>28</v>
      </c>
      <c r="D50" s="264" t="s">
        <v>111</v>
      </c>
      <c r="E50" s="264" t="s">
        <v>272</v>
      </c>
      <c r="F50" s="264" t="s">
        <v>448</v>
      </c>
      <c r="G50" s="265">
        <v>5.4</v>
      </c>
      <c r="H50" s="265">
        <v>1.9</v>
      </c>
      <c r="J50" s="264" t="s">
        <v>135</v>
      </c>
      <c r="K50" s="264" t="s">
        <v>27</v>
      </c>
      <c r="L50" s="264" t="s">
        <v>108</v>
      </c>
      <c r="M50" s="264" t="s">
        <v>211</v>
      </c>
      <c r="N50" s="264" t="s">
        <v>450</v>
      </c>
      <c r="O50" s="265">
        <v>26.8</v>
      </c>
      <c r="P50" s="265">
        <v>11.3</v>
      </c>
    </row>
    <row r="51" spans="2:16">
      <c r="B51" s="264" t="s">
        <v>129</v>
      </c>
      <c r="C51" s="264" t="s">
        <v>28</v>
      </c>
      <c r="D51" s="264" t="s">
        <v>251</v>
      </c>
      <c r="E51" s="264" t="s">
        <v>273</v>
      </c>
      <c r="F51" s="264" t="s">
        <v>451</v>
      </c>
      <c r="G51" s="265">
        <v>136.4</v>
      </c>
      <c r="H51" s="265">
        <v>72.3</v>
      </c>
      <c r="J51" s="264" t="s">
        <v>135</v>
      </c>
      <c r="K51" s="264" t="s">
        <v>27</v>
      </c>
      <c r="L51" s="264" t="s">
        <v>132</v>
      </c>
      <c r="M51" s="264" t="s">
        <v>210</v>
      </c>
      <c r="N51" s="264" t="s">
        <v>449</v>
      </c>
      <c r="O51" s="265">
        <v>24</v>
      </c>
      <c r="P51" s="265">
        <v>10.9</v>
      </c>
    </row>
    <row r="52" spans="2:16">
      <c r="B52" s="264" t="s">
        <v>129</v>
      </c>
      <c r="C52" s="264" t="s">
        <v>28</v>
      </c>
      <c r="D52" s="264" t="s">
        <v>134</v>
      </c>
      <c r="E52" s="264" t="s">
        <v>273</v>
      </c>
      <c r="F52" s="264" t="s">
        <v>461</v>
      </c>
      <c r="G52" s="265">
        <v>34.1</v>
      </c>
      <c r="H52" s="265">
        <v>18.100000000000001</v>
      </c>
      <c r="J52" s="264" t="s">
        <v>135</v>
      </c>
      <c r="K52" s="264" t="s">
        <v>27</v>
      </c>
      <c r="L52" s="264" t="s">
        <v>134</v>
      </c>
      <c r="M52" s="264" t="s">
        <v>209</v>
      </c>
      <c r="N52" s="264" t="s">
        <v>447</v>
      </c>
      <c r="O52" s="265">
        <v>7.4</v>
      </c>
      <c r="P52" s="265">
        <v>3.4</v>
      </c>
    </row>
    <row r="53" spans="2:16">
      <c r="B53" s="264" t="s">
        <v>129</v>
      </c>
      <c r="C53" s="264" t="s">
        <v>28</v>
      </c>
      <c r="D53" s="264" t="s">
        <v>132</v>
      </c>
      <c r="E53" s="264" t="s">
        <v>271</v>
      </c>
      <c r="F53" s="264" t="s">
        <v>446</v>
      </c>
      <c r="G53" s="265">
        <v>17.2</v>
      </c>
      <c r="H53" s="265">
        <v>7.8</v>
      </c>
      <c r="J53" s="264" t="s">
        <v>135</v>
      </c>
      <c r="K53" s="264" t="s">
        <v>27</v>
      </c>
      <c r="L53" s="264" t="s">
        <v>136</v>
      </c>
      <c r="M53" s="264" t="s">
        <v>220</v>
      </c>
      <c r="N53" s="264" t="s">
        <v>462</v>
      </c>
      <c r="O53" s="265">
        <v>49.4</v>
      </c>
      <c r="P53" s="265">
        <v>20.7</v>
      </c>
    </row>
    <row r="54" spans="2:16">
      <c r="B54" s="264" t="s">
        <v>129</v>
      </c>
      <c r="C54" s="264" t="s">
        <v>28</v>
      </c>
      <c r="D54" s="264" t="s">
        <v>134</v>
      </c>
      <c r="E54" s="264" t="s">
        <v>271</v>
      </c>
      <c r="F54" s="264" t="s">
        <v>446</v>
      </c>
      <c r="G54" s="265">
        <v>4.3</v>
      </c>
      <c r="H54" s="265">
        <v>1.9</v>
      </c>
      <c r="J54" s="264" t="s">
        <v>135</v>
      </c>
      <c r="K54" s="264" t="s">
        <v>27</v>
      </c>
      <c r="L54" s="264" t="s">
        <v>134</v>
      </c>
      <c r="M54" s="264" t="s">
        <v>210</v>
      </c>
      <c r="N54" s="264" t="s">
        <v>449</v>
      </c>
      <c r="O54" s="265">
        <v>7.2</v>
      </c>
      <c r="P54" s="265">
        <v>3.3</v>
      </c>
    </row>
    <row r="55" spans="2:16">
      <c r="B55" s="264" t="s">
        <v>135</v>
      </c>
      <c r="C55" s="264" t="s">
        <v>28</v>
      </c>
      <c r="D55" s="264" t="s">
        <v>108</v>
      </c>
      <c r="E55" s="264" t="s">
        <v>272</v>
      </c>
      <c r="F55" s="264" t="s">
        <v>448</v>
      </c>
      <c r="G55" s="265">
        <v>7.6</v>
      </c>
      <c r="H55" s="265">
        <v>4.2</v>
      </c>
      <c r="J55" s="264" t="s">
        <v>135</v>
      </c>
      <c r="K55" s="264" t="s">
        <v>27</v>
      </c>
      <c r="L55" s="264" t="s">
        <v>111</v>
      </c>
      <c r="M55" s="264" t="s">
        <v>211</v>
      </c>
      <c r="N55" s="264" t="s">
        <v>450</v>
      </c>
      <c r="O55" s="265">
        <v>25.2</v>
      </c>
      <c r="P55" s="265">
        <v>9.6999999999999993</v>
      </c>
    </row>
    <row r="56" spans="2:16">
      <c r="B56" s="264" t="s">
        <v>135</v>
      </c>
      <c r="C56" s="264" t="s">
        <v>28</v>
      </c>
      <c r="D56" s="264" t="s">
        <v>132</v>
      </c>
      <c r="E56" s="264" t="s">
        <v>273</v>
      </c>
      <c r="F56" s="264" t="s">
        <v>451</v>
      </c>
      <c r="G56" s="265">
        <v>136.4</v>
      </c>
      <c r="H56" s="265">
        <v>72.3</v>
      </c>
      <c r="J56" s="264" t="s">
        <v>139</v>
      </c>
      <c r="K56" s="264" t="s">
        <v>27</v>
      </c>
      <c r="L56" s="264" t="s">
        <v>140</v>
      </c>
      <c r="M56" s="264" t="s">
        <v>221</v>
      </c>
      <c r="N56" s="264" t="s">
        <v>459</v>
      </c>
      <c r="O56" s="265">
        <v>20.399999999999999</v>
      </c>
      <c r="P56" s="265">
        <v>9.4</v>
      </c>
    </row>
    <row r="57" spans="2:16">
      <c r="B57" s="264" t="s">
        <v>135</v>
      </c>
      <c r="C57" s="264" t="s">
        <v>28</v>
      </c>
      <c r="D57" s="264" t="s">
        <v>111</v>
      </c>
      <c r="E57" s="264" t="s">
        <v>272</v>
      </c>
      <c r="F57" s="264" t="s">
        <v>448</v>
      </c>
      <c r="G57" s="265">
        <v>5.4</v>
      </c>
      <c r="H57" s="265">
        <v>1.9</v>
      </c>
      <c r="J57" s="264" t="s">
        <v>139</v>
      </c>
      <c r="K57" s="264" t="s">
        <v>27</v>
      </c>
      <c r="L57" s="264" t="s">
        <v>141</v>
      </c>
      <c r="M57" s="264" t="s">
        <v>214</v>
      </c>
      <c r="N57" s="264" t="s">
        <v>454</v>
      </c>
      <c r="O57" s="265">
        <v>30.5</v>
      </c>
      <c r="P57" s="265">
        <v>16.2</v>
      </c>
    </row>
    <row r="58" spans="2:16">
      <c r="B58" s="264" t="s">
        <v>135</v>
      </c>
      <c r="C58" s="264" t="s">
        <v>28</v>
      </c>
      <c r="D58" s="264" t="s">
        <v>132</v>
      </c>
      <c r="E58" s="264" t="s">
        <v>271</v>
      </c>
      <c r="F58" s="264" t="s">
        <v>446</v>
      </c>
      <c r="G58" s="265">
        <v>17.2</v>
      </c>
      <c r="H58" s="265">
        <v>7.8</v>
      </c>
      <c r="J58" s="264" t="s">
        <v>139</v>
      </c>
      <c r="K58" s="264" t="s">
        <v>27</v>
      </c>
      <c r="L58" s="264" t="s">
        <v>142</v>
      </c>
      <c r="M58" s="264" t="s">
        <v>209</v>
      </c>
      <c r="N58" s="264" t="s">
        <v>447</v>
      </c>
      <c r="O58" s="265">
        <v>24.7</v>
      </c>
      <c r="P58" s="265">
        <v>11.4</v>
      </c>
    </row>
    <row r="59" spans="2:16">
      <c r="B59" s="264" t="s">
        <v>135</v>
      </c>
      <c r="C59" s="264" t="s">
        <v>28</v>
      </c>
      <c r="D59" s="264" t="s">
        <v>134</v>
      </c>
      <c r="E59" s="264" t="s">
        <v>273</v>
      </c>
      <c r="F59" s="264" t="s">
        <v>451</v>
      </c>
      <c r="G59" s="265">
        <v>40.9</v>
      </c>
      <c r="H59" s="265">
        <v>21.7</v>
      </c>
      <c r="J59" s="264" t="s">
        <v>139</v>
      </c>
      <c r="K59" s="264" t="s">
        <v>27</v>
      </c>
      <c r="L59" s="264" t="s">
        <v>141</v>
      </c>
      <c r="M59" s="264" t="s">
        <v>211</v>
      </c>
      <c r="N59" s="264" t="s">
        <v>450</v>
      </c>
      <c r="O59" s="265">
        <v>26.8</v>
      </c>
      <c r="P59" s="265">
        <v>11.3</v>
      </c>
    </row>
    <row r="60" spans="2:16">
      <c r="B60" s="264" t="s">
        <v>135</v>
      </c>
      <c r="C60" s="264" t="s">
        <v>28</v>
      </c>
      <c r="D60" s="264" t="s">
        <v>134</v>
      </c>
      <c r="E60" s="264" t="s">
        <v>271</v>
      </c>
      <c r="F60" s="264" t="s">
        <v>446</v>
      </c>
      <c r="G60" s="265">
        <v>5.2</v>
      </c>
      <c r="H60" s="265">
        <v>2.2999999999999998</v>
      </c>
      <c r="J60" s="264" t="s">
        <v>143</v>
      </c>
      <c r="K60" s="264" t="s">
        <v>27</v>
      </c>
      <c r="L60" s="264" t="s">
        <v>108</v>
      </c>
      <c r="M60" s="264" t="s">
        <v>222</v>
      </c>
      <c r="N60" s="264" t="s">
        <v>463</v>
      </c>
      <c r="O60" s="265">
        <v>23.8</v>
      </c>
      <c r="P60" s="265">
        <v>9.1</v>
      </c>
    </row>
    <row r="61" spans="2:16">
      <c r="B61" s="264" t="s">
        <v>135</v>
      </c>
      <c r="C61" s="264" t="s">
        <v>28</v>
      </c>
      <c r="D61" s="264" t="s">
        <v>252</v>
      </c>
      <c r="E61" s="264" t="s">
        <v>276</v>
      </c>
      <c r="F61" s="264" t="s">
        <v>464</v>
      </c>
      <c r="G61" s="265">
        <v>45.2</v>
      </c>
      <c r="H61" s="265">
        <v>25.2</v>
      </c>
      <c r="J61" s="264" t="s">
        <v>143</v>
      </c>
      <c r="K61" s="264" t="s">
        <v>27</v>
      </c>
      <c r="L61" s="264" t="s">
        <v>111</v>
      </c>
      <c r="M61" s="264" t="s">
        <v>222</v>
      </c>
      <c r="N61" s="264" t="s">
        <v>463</v>
      </c>
      <c r="O61" s="265">
        <v>25.3</v>
      </c>
      <c r="P61" s="265">
        <v>10.6</v>
      </c>
    </row>
    <row r="62" spans="2:16">
      <c r="B62" s="264" t="s">
        <v>139</v>
      </c>
      <c r="C62" s="264" t="s">
        <v>28</v>
      </c>
      <c r="D62" s="264" t="s">
        <v>254</v>
      </c>
      <c r="E62" s="264" t="s">
        <v>275</v>
      </c>
      <c r="F62" s="264" t="s">
        <v>465</v>
      </c>
      <c r="G62" s="265">
        <v>32.6</v>
      </c>
      <c r="H62" s="265">
        <v>17.3</v>
      </c>
      <c r="J62" s="264" t="s">
        <v>143</v>
      </c>
      <c r="K62" s="264" t="s">
        <v>27</v>
      </c>
      <c r="L62" s="264" t="s">
        <v>108</v>
      </c>
      <c r="M62" s="264" t="s">
        <v>209</v>
      </c>
      <c r="N62" s="264" t="s">
        <v>466</v>
      </c>
      <c r="O62" s="265">
        <v>24.6</v>
      </c>
      <c r="P62" s="265">
        <v>11.4</v>
      </c>
    </row>
    <row r="63" spans="2:16">
      <c r="B63" s="264" t="s">
        <v>139</v>
      </c>
      <c r="C63" s="264" t="s">
        <v>28</v>
      </c>
      <c r="D63" s="264" t="s">
        <v>256</v>
      </c>
      <c r="E63" s="264" t="s">
        <v>272</v>
      </c>
      <c r="F63" s="264" t="s">
        <v>448</v>
      </c>
      <c r="G63" s="265">
        <v>5.4</v>
      </c>
      <c r="H63" s="265">
        <v>1.9</v>
      </c>
      <c r="J63" s="264" t="s">
        <v>143</v>
      </c>
      <c r="K63" s="264" t="s">
        <v>27</v>
      </c>
      <c r="L63" s="264" t="s">
        <v>146</v>
      </c>
      <c r="M63" s="264" t="s">
        <v>209</v>
      </c>
      <c r="N63" s="264" t="s">
        <v>466</v>
      </c>
      <c r="O63" s="265">
        <v>12.3</v>
      </c>
      <c r="P63" s="265">
        <v>5.7</v>
      </c>
    </row>
    <row r="64" spans="2:16">
      <c r="B64" s="264" t="s">
        <v>139</v>
      </c>
      <c r="C64" s="264" t="s">
        <v>28</v>
      </c>
      <c r="D64" s="264" t="s">
        <v>254</v>
      </c>
      <c r="E64" s="264" t="s">
        <v>273</v>
      </c>
      <c r="F64" s="264" t="s">
        <v>451</v>
      </c>
      <c r="G64" s="265">
        <v>136.4</v>
      </c>
      <c r="H64" s="265">
        <v>72.3</v>
      </c>
      <c r="J64" s="264" t="s">
        <v>143</v>
      </c>
      <c r="K64" s="264" t="s">
        <v>27</v>
      </c>
      <c r="L64" s="264" t="s">
        <v>109</v>
      </c>
      <c r="M64" s="264" t="s">
        <v>209</v>
      </c>
      <c r="N64" s="264" t="s">
        <v>466</v>
      </c>
      <c r="O64" s="265">
        <v>7.4</v>
      </c>
      <c r="P64" s="265">
        <v>3.4</v>
      </c>
    </row>
    <row r="65" spans="2:16">
      <c r="B65" s="264" t="s">
        <v>139</v>
      </c>
      <c r="C65" s="264" t="s">
        <v>28</v>
      </c>
      <c r="D65" s="264" t="s">
        <v>142</v>
      </c>
      <c r="E65" s="264" t="s">
        <v>271</v>
      </c>
      <c r="F65" s="264" t="s">
        <v>446</v>
      </c>
      <c r="G65" s="265">
        <v>14.4</v>
      </c>
      <c r="H65" s="265">
        <v>6.6</v>
      </c>
      <c r="J65" s="264" t="s">
        <v>147</v>
      </c>
      <c r="K65" s="264" t="s">
        <v>27</v>
      </c>
      <c r="L65" s="264" t="s">
        <v>132</v>
      </c>
      <c r="M65" s="264" t="s">
        <v>209</v>
      </c>
      <c r="N65" s="264" t="s">
        <v>467</v>
      </c>
      <c r="O65" s="265">
        <v>27.4</v>
      </c>
      <c r="P65" s="265">
        <v>12.6</v>
      </c>
    </row>
    <row r="66" spans="2:16">
      <c r="B66" s="264" t="s">
        <v>139</v>
      </c>
      <c r="C66" s="264" t="s">
        <v>28</v>
      </c>
      <c r="D66" s="264" t="s">
        <v>140</v>
      </c>
      <c r="E66" s="264" t="s">
        <v>271</v>
      </c>
      <c r="F66" s="264" t="s">
        <v>446</v>
      </c>
      <c r="G66" s="265">
        <v>14.4</v>
      </c>
      <c r="H66" s="265">
        <v>6.6</v>
      </c>
      <c r="J66" s="264" t="s">
        <v>147</v>
      </c>
      <c r="K66" s="264" t="s">
        <v>27</v>
      </c>
      <c r="L66" s="264" t="s">
        <v>134</v>
      </c>
      <c r="M66" s="264" t="s">
        <v>209</v>
      </c>
      <c r="N66" s="264" t="s">
        <v>467</v>
      </c>
      <c r="O66" s="265">
        <v>8.1999999999999993</v>
      </c>
      <c r="P66" s="265">
        <v>3.8</v>
      </c>
    </row>
    <row r="67" spans="2:16">
      <c r="B67" s="264" t="s">
        <v>143</v>
      </c>
      <c r="C67" s="264" t="s">
        <v>28</v>
      </c>
      <c r="D67" s="264" t="s">
        <v>108</v>
      </c>
      <c r="E67" s="264" t="s">
        <v>272</v>
      </c>
      <c r="F67" s="264" t="s">
        <v>448</v>
      </c>
      <c r="G67" s="265">
        <v>7.6</v>
      </c>
      <c r="H67" s="265">
        <v>4.2</v>
      </c>
      <c r="J67" s="264" t="s">
        <v>147</v>
      </c>
      <c r="K67" s="264" t="s">
        <v>27</v>
      </c>
      <c r="L67" s="264" t="s">
        <v>132</v>
      </c>
      <c r="M67" s="264" t="s">
        <v>210</v>
      </c>
      <c r="N67" s="264" t="s">
        <v>449</v>
      </c>
      <c r="O67" s="265">
        <v>24</v>
      </c>
      <c r="P67" s="265">
        <v>10.9</v>
      </c>
    </row>
    <row r="68" spans="2:16">
      <c r="B68" s="264" t="s">
        <v>143</v>
      </c>
      <c r="C68" s="264" t="s">
        <v>28</v>
      </c>
      <c r="D68" s="264" t="s">
        <v>111</v>
      </c>
      <c r="E68" s="264" t="s">
        <v>272</v>
      </c>
      <c r="F68" s="264" t="s">
        <v>448</v>
      </c>
      <c r="G68" s="265">
        <v>5.4</v>
      </c>
      <c r="H68" s="265">
        <v>1.9</v>
      </c>
      <c r="J68" s="264" t="s">
        <v>147</v>
      </c>
      <c r="K68" s="264" t="s">
        <v>27</v>
      </c>
      <c r="L68" s="264" t="s">
        <v>111</v>
      </c>
      <c r="M68" s="264" t="s">
        <v>211</v>
      </c>
      <c r="N68" s="264" t="s">
        <v>450</v>
      </c>
      <c r="O68" s="265">
        <v>25.2</v>
      </c>
      <c r="P68" s="265">
        <v>9.6999999999999993</v>
      </c>
    </row>
    <row r="69" spans="2:16">
      <c r="B69" s="264" t="s">
        <v>143</v>
      </c>
      <c r="C69" s="264" t="s">
        <v>28</v>
      </c>
      <c r="D69" s="264" t="s">
        <v>146</v>
      </c>
      <c r="E69" s="264" t="s">
        <v>271</v>
      </c>
      <c r="F69" s="264" t="s">
        <v>446</v>
      </c>
      <c r="G69" s="265">
        <v>8.6</v>
      </c>
      <c r="H69" s="265">
        <v>3.9</v>
      </c>
      <c r="J69" s="264" t="s">
        <v>147</v>
      </c>
      <c r="K69" s="264" t="s">
        <v>27</v>
      </c>
      <c r="L69" s="264" t="s">
        <v>149</v>
      </c>
      <c r="M69" s="264" t="s">
        <v>223</v>
      </c>
      <c r="N69" s="264" t="s">
        <v>468</v>
      </c>
      <c r="O69" s="265">
        <v>90.6</v>
      </c>
      <c r="P69" s="265">
        <v>37</v>
      </c>
    </row>
    <row r="70" spans="2:16">
      <c r="B70" s="264" t="s">
        <v>143</v>
      </c>
      <c r="C70" s="264" t="s">
        <v>28</v>
      </c>
      <c r="D70" s="264" t="s">
        <v>108</v>
      </c>
      <c r="E70" s="264" t="s">
        <v>271</v>
      </c>
      <c r="F70" s="264" t="s">
        <v>446</v>
      </c>
      <c r="G70" s="265">
        <v>17.2</v>
      </c>
      <c r="H70" s="265">
        <v>7.8</v>
      </c>
      <c r="J70" s="264" t="s">
        <v>147</v>
      </c>
      <c r="K70" s="264" t="s">
        <v>27</v>
      </c>
      <c r="L70" s="264" t="s">
        <v>108</v>
      </c>
      <c r="M70" s="264" t="s">
        <v>211</v>
      </c>
      <c r="N70" s="264" t="s">
        <v>450</v>
      </c>
      <c r="O70" s="265">
        <v>26.8</v>
      </c>
      <c r="P70" s="265">
        <v>11.3</v>
      </c>
    </row>
    <row r="71" spans="2:16">
      <c r="B71" s="264" t="s">
        <v>143</v>
      </c>
      <c r="C71" s="264" t="s">
        <v>28</v>
      </c>
      <c r="D71" s="264" t="s">
        <v>109</v>
      </c>
      <c r="E71" s="264" t="s">
        <v>273</v>
      </c>
      <c r="F71" s="264" t="s">
        <v>461</v>
      </c>
      <c r="G71" s="265">
        <v>40.9</v>
      </c>
      <c r="H71" s="265">
        <v>21.7</v>
      </c>
      <c r="J71" s="264" t="s">
        <v>147</v>
      </c>
      <c r="K71" s="264" t="s">
        <v>27</v>
      </c>
      <c r="L71" s="264" t="s">
        <v>134</v>
      </c>
      <c r="M71" s="264" t="s">
        <v>210</v>
      </c>
      <c r="N71" s="264" t="s">
        <v>449</v>
      </c>
      <c r="O71" s="265">
        <v>7.2</v>
      </c>
      <c r="P71" s="265">
        <v>3.3</v>
      </c>
    </row>
    <row r="72" spans="2:16">
      <c r="B72" s="264" t="s">
        <v>143</v>
      </c>
      <c r="C72" s="264" t="s">
        <v>28</v>
      </c>
      <c r="D72" s="264" t="s">
        <v>109</v>
      </c>
      <c r="E72" s="264" t="s">
        <v>271</v>
      </c>
      <c r="F72" s="264" t="s">
        <v>446</v>
      </c>
      <c r="G72" s="265">
        <v>5.2</v>
      </c>
      <c r="H72" s="265">
        <v>2.2999999999999998</v>
      </c>
      <c r="J72" s="264" t="s">
        <v>152</v>
      </c>
      <c r="K72" s="264" t="s">
        <v>27</v>
      </c>
      <c r="L72" s="264" t="s">
        <v>132</v>
      </c>
      <c r="M72" s="264" t="s">
        <v>209</v>
      </c>
      <c r="N72" s="264" t="s">
        <v>447</v>
      </c>
      <c r="O72" s="265">
        <v>24.7</v>
      </c>
      <c r="P72" s="265">
        <v>11.4</v>
      </c>
    </row>
    <row r="73" spans="2:16">
      <c r="B73" s="264" t="s">
        <v>147</v>
      </c>
      <c r="C73" s="264" t="s">
        <v>28</v>
      </c>
      <c r="D73" s="264" t="s">
        <v>108</v>
      </c>
      <c r="E73" s="264" t="s">
        <v>272</v>
      </c>
      <c r="F73" s="264" t="s">
        <v>448</v>
      </c>
      <c r="G73" s="265">
        <v>7.6</v>
      </c>
      <c r="H73" s="265">
        <v>4.2</v>
      </c>
      <c r="J73" s="264" t="s">
        <v>152</v>
      </c>
      <c r="K73" s="264" t="s">
        <v>27</v>
      </c>
      <c r="L73" s="264" t="s">
        <v>108</v>
      </c>
      <c r="M73" s="264" t="s">
        <v>211</v>
      </c>
      <c r="N73" s="264" t="s">
        <v>450</v>
      </c>
      <c r="O73" s="265">
        <v>26.8</v>
      </c>
      <c r="P73" s="265">
        <v>11.3</v>
      </c>
    </row>
    <row r="74" spans="2:16">
      <c r="B74" s="264" t="s">
        <v>147</v>
      </c>
      <c r="C74" s="264" t="s">
        <v>28</v>
      </c>
      <c r="D74" s="264" t="s">
        <v>111</v>
      </c>
      <c r="E74" s="264" t="s">
        <v>272</v>
      </c>
      <c r="F74" s="264" t="s">
        <v>448</v>
      </c>
      <c r="G74" s="265">
        <v>5.4</v>
      </c>
      <c r="H74" s="265">
        <v>1.9</v>
      </c>
      <c r="J74" s="264" t="s">
        <v>152</v>
      </c>
      <c r="K74" s="264" t="s">
        <v>27</v>
      </c>
      <c r="L74" s="264" t="s">
        <v>132</v>
      </c>
      <c r="M74" s="264" t="s">
        <v>210</v>
      </c>
      <c r="N74" s="264" t="s">
        <v>449</v>
      </c>
      <c r="O74" s="265">
        <v>24</v>
      </c>
      <c r="P74" s="265">
        <v>10.9</v>
      </c>
    </row>
    <row r="75" spans="2:16">
      <c r="B75" s="264" t="s">
        <v>147</v>
      </c>
      <c r="C75" s="264" t="s">
        <v>28</v>
      </c>
      <c r="D75" s="264" t="s">
        <v>257</v>
      </c>
      <c r="E75" s="264" t="s">
        <v>273</v>
      </c>
      <c r="F75" s="264" t="s">
        <v>451</v>
      </c>
      <c r="G75" s="265">
        <v>136.4</v>
      </c>
      <c r="H75" s="265">
        <v>72.3</v>
      </c>
      <c r="J75" s="264" t="s">
        <v>152</v>
      </c>
      <c r="K75" s="264" t="s">
        <v>27</v>
      </c>
      <c r="L75" s="264" t="s">
        <v>134</v>
      </c>
      <c r="M75" s="264" t="s">
        <v>209</v>
      </c>
      <c r="N75" s="264" t="s">
        <v>447</v>
      </c>
      <c r="O75" s="265">
        <v>7.4</v>
      </c>
      <c r="P75" s="265">
        <v>3.4</v>
      </c>
    </row>
    <row r="76" spans="2:16">
      <c r="B76" s="264" t="s">
        <v>147</v>
      </c>
      <c r="C76" s="264" t="s">
        <v>28</v>
      </c>
      <c r="D76" s="264" t="s">
        <v>134</v>
      </c>
      <c r="E76" s="264" t="s">
        <v>273</v>
      </c>
      <c r="F76" s="264" t="s">
        <v>451</v>
      </c>
      <c r="G76" s="265">
        <v>40.9</v>
      </c>
      <c r="H76" s="265">
        <v>21.7</v>
      </c>
      <c r="J76" s="264" t="s">
        <v>152</v>
      </c>
      <c r="K76" s="264" t="s">
        <v>27</v>
      </c>
      <c r="L76" s="264" t="s">
        <v>153</v>
      </c>
      <c r="M76" s="264" t="s">
        <v>223</v>
      </c>
      <c r="N76" s="264" t="s">
        <v>468</v>
      </c>
      <c r="O76" s="265">
        <v>55.6</v>
      </c>
      <c r="P76" s="265">
        <v>22.7</v>
      </c>
    </row>
    <row r="77" spans="2:16">
      <c r="B77" s="264" t="s">
        <v>147</v>
      </c>
      <c r="C77" s="264" t="s">
        <v>28</v>
      </c>
      <c r="D77" s="264" t="s">
        <v>254</v>
      </c>
      <c r="E77" s="264" t="s">
        <v>275</v>
      </c>
      <c r="F77" s="264" t="s">
        <v>458</v>
      </c>
      <c r="G77" s="265">
        <v>35.1</v>
      </c>
      <c r="H77" s="265">
        <v>14.3</v>
      </c>
      <c r="J77" s="264" t="s">
        <v>152</v>
      </c>
      <c r="K77" s="264" t="s">
        <v>27</v>
      </c>
      <c r="L77" s="264" t="s">
        <v>134</v>
      </c>
      <c r="M77" s="264" t="s">
        <v>210</v>
      </c>
      <c r="N77" s="264" t="s">
        <v>449</v>
      </c>
      <c r="O77" s="265">
        <v>7.2</v>
      </c>
      <c r="P77" s="265">
        <v>3.3</v>
      </c>
    </row>
    <row r="78" spans="2:16">
      <c r="B78" s="264" t="s">
        <v>147</v>
      </c>
      <c r="C78" s="264" t="s">
        <v>28</v>
      </c>
      <c r="D78" s="264" t="s">
        <v>132</v>
      </c>
      <c r="E78" s="264" t="s">
        <v>271</v>
      </c>
      <c r="F78" s="264" t="s">
        <v>446</v>
      </c>
      <c r="G78" s="265">
        <v>17.2</v>
      </c>
      <c r="H78" s="265">
        <v>7.8</v>
      </c>
      <c r="J78" s="264" t="s">
        <v>152</v>
      </c>
      <c r="K78" s="264" t="s">
        <v>27</v>
      </c>
      <c r="L78" s="264" t="s">
        <v>111</v>
      </c>
      <c r="M78" s="264" t="s">
        <v>211</v>
      </c>
      <c r="N78" s="264" t="s">
        <v>450</v>
      </c>
      <c r="O78" s="265">
        <v>25.2</v>
      </c>
      <c r="P78" s="265">
        <v>9.6999999999999993</v>
      </c>
    </row>
    <row r="79" spans="2:16">
      <c r="B79" s="264" t="s">
        <v>147</v>
      </c>
      <c r="C79" s="264" t="s">
        <v>28</v>
      </c>
      <c r="D79" s="264" t="s">
        <v>134</v>
      </c>
      <c r="E79" s="264" t="s">
        <v>271</v>
      </c>
      <c r="F79" s="264" t="s">
        <v>446</v>
      </c>
      <c r="G79" s="265">
        <v>5.2</v>
      </c>
      <c r="H79" s="265">
        <v>2.2999999999999998</v>
      </c>
      <c r="J79" s="264" t="s">
        <v>154</v>
      </c>
      <c r="K79" s="264" t="s">
        <v>27</v>
      </c>
      <c r="L79" s="264" t="s">
        <v>119</v>
      </c>
      <c r="M79" s="264" t="s">
        <v>224</v>
      </c>
      <c r="N79" s="264" t="s">
        <v>469</v>
      </c>
      <c r="O79" s="265">
        <v>6.6</v>
      </c>
      <c r="P79" s="265">
        <v>3</v>
      </c>
    </row>
    <row r="80" spans="2:16">
      <c r="B80" s="264" t="s">
        <v>152</v>
      </c>
      <c r="C80" s="264" t="s">
        <v>28</v>
      </c>
      <c r="D80" s="264" t="s">
        <v>108</v>
      </c>
      <c r="E80" s="264" t="s">
        <v>272</v>
      </c>
      <c r="F80" s="264" t="s">
        <v>448</v>
      </c>
      <c r="G80" s="265">
        <v>7.6</v>
      </c>
      <c r="H80" s="265">
        <v>4.2</v>
      </c>
      <c r="J80" s="264" t="s">
        <v>154</v>
      </c>
      <c r="K80" s="264" t="s">
        <v>27</v>
      </c>
      <c r="L80" s="264" t="s">
        <v>108</v>
      </c>
      <c r="M80" s="264" t="s">
        <v>211</v>
      </c>
      <c r="N80" s="264" t="s">
        <v>450</v>
      </c>
      <c r="O80" s="265">
        <v>26.8</v>
      </c>
      <c r="P80" s="265">
        <v>11.3</v>
      </c>
    </row>
    <row r="81" spans="2:16">
      <c r="B81" s="264" t="s">
        <v>152</v>
      </c>
      <c r="C81" s="264" t="s">
        <v>28</v>
      </c>
      <c r="D81" s="264" t="s">
        <v>111</v>
      </c>
      <c r="E81" s="264" t="s">
        <v>272</v>
      </c>
      <c r="F81" s="264" t="s">
        <v>448</v>
      </c>
      <c r="G81" s="265">
        <v>5.4</v>
      </c>
      <c r="H81" s="265">
        <v>1.9</v>
      </c>
      <c r="J81" s="264" t="s">
        <v>154</v>
      </c>
      <c r="K81" s="264" t="s">
        <v>27</v>
      </c>
      <c r="L81" s="264" t="s">
        <v>111</v>
      </c>
      <c r="M81" s="264" t="s">
        <v>224</v>
      </c>
      <c r="N81" s="264" t="s">
        <v>469</v>
      </c>
      <c r="O81" s="265">
        <v>1.6</v>
      </c>
      <c r="P81" s="265">
        <v>0.8</v>
      </c>
    </row>
    <row r="82" spans="2:16">
      <c r="B82" s="264" t="s">
        <v>152</v>
      </c>
      <c r="C82" s="264" t="s">
        <v>28</v>
      </c>
      <c r="D82" s="264" t="s">
        <v>132</v>
      </c>
      <c r="E82" s="264" t="s">
        <v>271</v>
      </c>
      <c r="F82" s="264" t="s">
        <v>446</v>
      </c>
      <c r="G82" s="265">
        <v>17.2</v>
      </c>
      <c r="H82" s="265">
        <v>7.8</v>
      </c>
      <c r="J82" s="264" t="s">
        <v>154</v>
      </c>
      <c r="K82" s="264" t="s">
        <v>27</v>
      </c>
      <c r="L82" s="264" t="s">
        <v>149</v>
      </c>
      <c r="M82" s="264" t="s">
        <v>225</v>
      </c>
      <c r="N82" s="264" t="s">
        <v>470</v>
      </c>
      <c r="O82" s="265">
        <v>10.5</v>
      </c>
      <c r="P82" s="265">
        <v>5.7</v>
      </c>
    </row>
    <row r="83" spans="2:16">
      <c r="B83" s="264" t="s">
        <v>152</v>
      </c>
      <c r="C83" s="264" t="s">
        <v>28</v>
      </c>
      <c r="D83" s="264" t="s">
        <v>257</v>
      </c>
      <c r="E83" s="264" t="s">
        <v>273</v>
      </c>
      <c r="F83" s="264" t="s">
        <v>451</v>
      </c>
      <c r="G83" s="265">
        <v>136.4</v>
      </c>
      <c r="H83" s="265">
        <v>72.3</v>
      </c>
      <c r="J83" s="264" t="s">
        <v>154</v>
      </c>
      <c r="K83" s="264" t="s">
        <v>27</v>
      </c>
      <c r="L83" s="264" t="s">
        <v>119</v>
      </c>
      <c r="M83" s="264" t="s">
        <v>210</v>
      </c>
      <c r="N83" s="264" t="s">
        <v>449</v>
      </c>
      <c r="O83" s="265">
        <v>24</v>
      </c>
      <c r="P83" s="265">
        <v>10.9</v>
      </c>
    </row>
    <row r="84" spans="2:16">
      <c r="B84" s="264" t="s">
        <v>152</v>
      </c>
      <c r="C84" s="264" t="s">
        <v>28</v>
      </c>
      <c r="D84" s="264" t="s">
        <v>153</v>
      </c>
      <c r="E84" s="264" t="s">
        <v>275</v>
      </c>
      <c r="F84" s="264" t="s">
        <v>458</v>
      </c>
      <c r="G84" s="265">
        <v>35.1</v>
      </c>
      <c r="H84" s="265">
        <v>14.3</v>
      </c>
      <c r="J84" s="264" t="s">
        <v>154</v>
      </c>
      <c r="K84" s="264" t="s">
        <v>27</v>
      </c>
      <c r="L84" s="264" t="s">
        <v>123</v>
      </c>
      <c r="M84" s="264" t="s">
        <v>210</v>
      </c>
      <c r="N84" s="264" t="s">
        <v>449</v>
      </c>
      <c r="O84" s="265">
        <v>12</v>
      </c>
      <c r="P84" s="265">
        <v>5.4</v>
      </c>
    </row>
    <row r="85" spans="2:16">
      <c r="B85" s="264" t="s">
        <v>152</v>
      </c>
      <c r="C85" s="264" t="s">
        <v>28</v>
      </c>
      <c r="D85" s="264" t="s">
        <v>134</v>
      </c>
      <c r="E85" s="264" t="s">
        <v>273</v>
      </c>
      <c r="F85" s="264" t="s">
        <v>451</v>
      </c>
      <c r="G85" s="265">
        <v>40.9</v>
      </c>
      <c r="H85" s="265">
        <v>21.7</v>
      </c>
      <c r="J85" s="264" t="s">
        <v>154</v>
      </c>
      <c r="K85" s="264" t="s">
        <v>27</v>
      </c>
      <c r="L85" s="264" t="s">
        <v>123</v>
      </c>
      <c r="M85" s="264" t="s">
        <v>224</v>
      </c>
      <c r="N85" s="264" t="s">
        <v>469</v>
      </c>
      <c r="O85" s="265">
        <v>3.3</v>
      </c>
      <c r="P85" s="265">
        <v>1.5</v>
      </c>
    </row>
    <row r="86" spans="2:16">
      <c r="B86" s="264" t="s">
        <v>152</v>
      </c>
      <c r="C86" s="264" t="s">
        <v>28</v>
      </c>
      <c r="D86" s="264" t="s">
        <v>134</v>
      </c>
      <c r="E86" s="264" t="s">
        <v>271</v>
      </c>
      <c r="F86" s="264" t="s">
        <v>446</v>
      </c>
      <c r="G86" s="265">
        <v>5.2</v>
      </c>
      <c r="H86" s="265">
        <v>2.2999999999999998</v>
      </c>
      <c r="J86" s="264" t="s">
        <v>154</v>
      </c>
      <c r="K86" s="264" t="s">
        <v>27</v>
      </c>
      <c r="L86" s="264" t="s">
        <v>119</v>
      </c>
      <c r="M86" s="264" t="s">
        <v>223</v>
      </c>
      <c r="N86" s="264" t="s">
        <v>468</v>
      </c>
      <c r="O86" s="265">
        <v>55.6</v>
      </c>
      <c r="P86" s="265">
        <v>22.7</v>
      </c>
    </row>
    <row r="87" spans="2:16">
      <c r="B87" s="264" t="s">
        <v>154</v>
      </c>
      <c r="C87" s="264" t="s">
        <v>28</v>
      </c>
      <c r="D87" s="264" t="s">
        <v>108</v>
      </c>
      <c r="E87" s="264" t="s">
        <v>272</v>
      </c>
      <c r="F87" s="264" t="s">
        <v>448</v>
      </c>
      <c r="G87" s="265">
        <v>7.6</v>
      </c>
      <c r="H87" s="265">
        <v>4.2</v>
      </c>
      <c r="J87" s="264" t="s">
        <v>154</v>
      </c>
      <c r="K87" s="264" t="s">
        <v>27</v>
      </c>
      <c r="L87" s="264" t="s">
        <v>159</v>
      </c>
      <c r="M87" s="264" t="s">
        <v>213</v>
      </c>
      <c r="N87" s="264" t="s">
        <v>453</v>
      </c>
      <c r="O87" s="265">
        <v>52.2</v>
      </c>
      <c r="P87" s="265">
        <v>20.3</v>
      </c>
    </row>
    <row r="88" spans="2:16">
      <c r="B88" s="264" t="s">
        <v>154</v>
      </c>
      <c r="C88" s="264" t="s">
        <v>28</v>
      </c>
      <c r="D88" s="264" t="s">
        <v>119</v>
      </c>
      <c r="E88" s="264" t="s">
        <v>277</v>
      </c>
      <c r="F88" s="264" t="s">
        <v>446</v>
      </c>
      <c r="G88" s="265">
        <v>17.2</v>
      </c>
      <c r="H88" s="265">
        <v>7.8</v>
      </c>
      <c r="J88" s="264" t="s">
        <v>154</v>
      </c>
      <c r="K88" s="264" t="s">
        <v>27</v>
      </c>
      <c r="L88" s="264" t="s">
        <v>123</v>
      </c>
      <c r="M88" s="264" t="s">
        <v>223</v>
      </c>
      <c r="N88" s="264" t="s">
        <v>468</v>
      </c>
      <c r="O88" s="265">
        <v>27.8</v>
      </c>
      <c r="P88" s="265">
        <v>11.4</v>
      </c>
    </row>
    <row r="89" spans="2:16">
      <c r="B89" s="264" t="s">
        <v>154</v>
      </c>
      <c r="C89" s="264" t="s">
        <v>28</v>
      </c>
      <c r="D89" s="264" t="s">
        <v>119</v>
      </c>
      <c r="E89" s="264" t="s">
        <v>273</v>
      </c>
      <c r="F89" s="264" t="s">
        <v>451</v>
      </c>
      <c r="G89" s="265">
        <v>136.4</v>
      </c>
      <c r="H89" s="265">
        <v>72.3</v>
      </c>
      <c r="J89" s="264" t="s">
        <v>154</v>
      </c>
      <c r="K89" s="264" t="s">
        <v>27</v>
      </c>
      <c r="L89" s="264" t="s">
        <v>109</v>
      </c>
      <c r="M89" s="264" t="s">
        <v>223</v>
      </c>
      <c r="N89" s="264" t="s">
        <v>468</v>
      </c>
      <c r="O89" s="265">
        <v>13.9</v>
      </c>
      <c r="P89" s="265">
        <v>5.7</v>
      </c>
    </row>
    <row r="90" spans="2:16">
      <c r="B90" s="264" t="s">
        <v>154</v>
      </c>
      <c r="C90" s="264" t="s">
        <v>28</v>
      </c>
      <c r="D90" s="264" t="s">
        <v>111</v>
      </c>
      <c r="E90" s="264" t="s">
        <v>272</v>
      </c>
      <c r="F90" s="264" t="s">
        <v>448</v>
      </c>
      <c r="G90" s="265">
        <v>5.4</v>
      </c>
      <c r="H90" s="265">
        <v>1.9</v>
      </c>
      <c r="J90" s="264" t="s">
        <v>154</v>
      </c>
      <c r="K90" s="264" t="s">
        <v>27</v>
      </c>
      <c r="L90" s="264" t="s">
        <v>109</v>
      </c>
      <c r="M90" s="264" t="s">
        <v>210</v>
      </c>
      <c r="N90" s="264" t="s">
        <v>449</v>
      </c>
      <c r="O90" s="265">
        <v>6</v>
      </c>
      <c r="P90" s="265">
        <v>2.7</v>
      </c>
    </row>
    <row r="91" spans="2:16">
      <c r="B91" s="264" t="s">
        <v>154</v>
      </c>
      <c r="C91" s="264" t="s">
        <v>28</v>
      </c>
      <c r="D91" s="264" t="s">
        <v>109</v>
      </c>
      <c r="E91" s="264" t="s">
        <v>273</v>
      </c>
      <c r="F91" s="264" t="s">
        <v>451</v>
      </c>
      <c r="G91" s="265">
        <v>34.1</v>
      </c>
      <c r="H91" s="265">
        <v>18.100000000000001</v>
      </c>
      <c r="J91" s="264" t="s">
        <v>154</v>
      </c>
      <c r="K91" s="264" t="s">
        <v>27</v>
      </c>
      <c r="L91" s="264" t="s">
        <v>111</v>
      </c>
      <c r="M91" s="264" t="s">
        <v>211</v>
      </c>
      <c r="N91" s="264" t="s">
        <v>450</v>
      </c>
      <c r="O91" s="265">
        <v>12.6</v>
      </c>
      <c r="P91" s="265">
        <v>4.8</v>
      </c>
    </row>
    <row r="92" spans="2:16">
      <c r="B92" s="264" t="s">
        <v>154</v>
      </c>
      <c r="C92" s="264" t="s">
        <v>28</v>
      </c>
      <c r="D92" s="264" t="s">
        <v>123</v>
      </c>
      <c r="E92" s="264" t="s">
        <v>273</v>
      </c>
      <c r="F92" s="264" t="s">
        <v>451</v>
      </c>
      <c r="G92" s="265">
        <v>68.2</v>
      </c>
      <c r="H92" s="265">
        <v>36.1</v>
      </c>
      <c r="J92" s="264" t="s">
        <v>160</v>
      </c>
      <c r="K92" s="264" t="s">
        <v>27</v>
      </c>
      <c r="L92" s="264" t="s">
        <v>108</v>
      </c>
      <c r="M92" s="264" t="s">
        <v>211</v>
      </c>
      <c r="N92" s="264" t="s">
        <v>450</v>
      </c>
      <c r="O92" s="265">
        <v>10.9</v>
      </c>
      <c r="P92" s="265">
        <v>5.9</v>
      </c>
    </row>
    <row r="93" spans="2:16">
      <c r="B93" s="264" t="s">
        <v>154</v>
      </c>
      <c r="C93" s="264" t="s">
        <v>28</v>
      </c>
      <c r="D93" s="264" t="s">
        <v>123</v>
      </c>
      <c r="E93" s="264" t="s">
        <v>271</v>
      </c>
      <c r="F93" s="264" t="s">
        <v>446</v>
      </c>
      <c r="G93" s="265">
        <v>8.6</v>
      </c>
      <c r="H93" s="265">
        <v>3.9</v>
      </c>
      <c r="J93" s="264" t="s">
        <v>160</v>
      </c>
      <c r="K93" s="264" t="s">
        <v>27</v>
      </c>
      <c r="L93" s="264" t="s">
        <v>161</v>
      </c>
      <c r="M93" s="264" t="s">
        <v>214</v>
      </c>
      <c r="N93" s="264" t="s">
        <v>471</v>
      </c>
      <c r="O93" s="265">
        <v>39</v>
      </c>
      <c r="P93" s="265">
        <v>15.9</v>
      </c>
    </row>
    <row r="94" spans="2:16">
      <c r="B94" s="264" t="s">
        <v>154</v>
      </c>
      <c r="C94" s="264" t="s">
        <v>28</v>
      </c>
      <c r="D94" s="264" t="s">
        <v>109</v>
      </c>
      <c r="E94" s="264" t="s">
        <v>271</v>
      </c>
      <c r="F94" s="264" t="s">
        <v>446</v>
      </c>
      <c r="G94" s="265">
        <v>4.3</v>
      </c>
      <c r="H94" s="265">
        <v>1.9</v>
      </c>
      <c r="J94" s="264" t="s">
        <v>160</v>
      </c>
      <c r="K94" s="264" t="s">
        <v>27</v>
      </c>
      <c r="L94" s="264" t="s">
        <v>163</v>
      </c>
      <c r="M94" s="264" t="s">
        <v>209</v>
      </c>
      <c r="N94" s="264" t="s">
        <v>447</v>
      </c>
      <c r="O94" s="265">
        <v>24.7</v>
      </c>
      <c r="P94" s="265">
        <v>11.4</v>
      </c>
    </row>
    <row r="95" spans="2:16">
      <c r="B95" s="264" t="s">
        <v>160</v>
      </c>
      <c r="C95" s="264" t="s">
        <v>28</v>
      </c>
      <c r="D95" s="264" t="s">
        <v>108</v>
      </c>
      <c r="E95" s="264" t="s">
        <v>272</v>
      </c>
      <c r="F95" s="264" t="s">
        <v>448</v>
      </c>
      <c r="G95" s="265">
        <v>7.6</v>
      </c>
      <c r="H95" s="265">
        <v>4.2</v>
      </c>
      <c r="J95" s="264" t="s">
        <v>160</v>
      </c>
      <c r="K95" s="264" t="s">
        <v>27</v>
      </c>
      <c r="L95" s="264" t="s">
        <v>119</v>
      </c>
      <c r="M95" s="264" t="s">
        <v>210</v>
      </c>
      <c r="N95" s="264" t="s">
        <v>449</v>
      </c>
      <c r="O95" s="265">
        <v>24</v>
      </c>
      <c r="P95" s="265">
        <v>10.9</v>
      </c>
    </row>
    <row r="96" spans="2:16">
      <c r="B96" s="264" t="s">
        <v>160</v>
      </c>
      <c r="C96" s="264" t="s">
        <v>28</v>
      </c>
      <c r="D96" s="264" t="s">
        <v>111</v>
      </c>
      <c r="E96" s="264" t="s">
        <v>272</v>
      </c>
      <c r="F96" s="264" t="s">
        <v>448</v>
      </c>
      <c r="G96" s="265">
        <v>5.4</v>
      </c>
      <c r="H96" s="265">
        <v>1.9</v>
      </c>
      <c r="J96" s="264" t="s">
        <v>160</v>
      </c>
      <c r="K96" s="264" t="s">
        <v>27</v>
      </c>
      <c r="L96" s="264" t="s">
        <v>164</v>
      </c>
      <c r="M96" s="264" t="s">
        <v>223</v>
      </c>
      <c r="N96" s="264" t="s">
        <v>468</v>
      </c>
      <c r="O96" s="265">
        <v>4</v>
      </c>
      <c r="P96" s="265">
        <v>3.5</v>
      </c>
    </row>
    <row r="97" spans="2:16">
      <c r="B97" s="264" t="s">
        <v>160</v>
      </c>
      <c r="C97" s="264" t="s">
        <v>28</v>
      </c>
      <c r="D97" s="264" t="s">
        <v>123</v>
      </c>
      <c r="E97" s="264" t="s">
        <v>271</v>
      </c>
      <c r="F97" s="264" t="s">
        <v>446</v>
      </c>
      <c r="G97" s="265">
        <v>5.2</v>
      </c>
      <c r="H97" s="265">
        <v>2.2999999999999998</v>
      </c>
      <c r="J97" s="264" t="s">
        <v>160</v>
      </c>
      <c r="K97" s="264" t="s">
        <v>27</v>
      </c>
      <c r="L97" s="264" t="s">
        <v>109</v>
      </c>
      <c r="M97" s="264" t="s">
        <v>210</v>
      </c>
      <c r="N97" s="264" t="s">
        <v>449</v>
      </c>
      <c r="O97" s="265">
        <v>6</v>
      </c>
      <c r="P97" s="265">
        <v>2.7</v>
      </c>
    </row>
    <row r="98" spans="2:16">
      <c r="B98" s="264" t="s">
        <v>160</v>
      </c>
      <c r="C98" s="264" t="s">
        <v>28</v>
      </c>
      <c r="D98" s="264" t="s">
        <v>254</v>
      </c>
      <c r="E98" s="264" t="s">
        <v>275</v>
      </c>
      <c r="F98" s="264" t="s">
        <v>458</v>
      </c>
      <c r="G98" s="265">
        <v>35.1</v>
      </c>
      <c r="H98" s="265">
        <v>14.3</v>
      </c>
      <c r="J98" s="264" t="s">
        <v>160</v>
      </c>
      <c r="K98" s="264" t="s">
        <v>27</v>
      </c>
      <c r="L98" s="264" t="s">
        <v>108</v>
      </c>
      <c r="M98" s="264" t="s">
        <v>223</v>
      </c>
      <c r="N98" s="264" t="s">
        <v>468</v>
      </c>
      <c r="O98" s="265">
        <v>55.6</v>
      </c>
      <c r="P98" s="265">
        <v>22.7</v>
      </c>
    </row>
    <row r="99" spans="2:16">
      <c r="B99" s="264" t="s">
        <v>160</v>
      </c>
      <c r="C99" s="264" t="s">
        <v>28</v>
      </c>
      <c r="D99" s="264" t="s">
        <v>119</v>
      </c>
      <c r="E99" s="264" t="s">
        <v>271</v>
      </c>
      <c r="F99" s="264" t="s">
        <v>446</v>
      </c>
      <c r="G99" s="265">
        <v>17.2</v>
      </c>
      <c r="H99" s="265">
        <v>7.8</v>
      </c>
      <c r="J99" s="264" t="s">
        <v>160</v>
      </c>
      <c r="K99" s="264" t="s">
        <v>27</v>
      </c>
      <c r="L99" s="264" t="s">
        <v>123</v>
      </c>
      <c r="M99" s="264" t="s">
        <v>210</v>
      </c>
      <c r="N99" s="264" t="s">
        <v>449</v>
      </c>
      <c r="O99" s="265">
        <v>7.2</v>
      </c>
      <c r="P99" s="265">
        <v>3.3</v>
      </c>
    </row>
    <row r="100" spans="2:16">
      <c r="B100" s="264" t="s">
        <v>160</v>
      </c>
      <c r="C100" s="264" t="s">
        <v>28</v>
      </c>
      <c r="D100" s="264" t="s">
        <v>109</v>
      </c>
      <c r="E100" s="264" t="s">
        <v>273</v>
      </c>
      <c r="F100" s="264" t="s">
        <v>451</v>
      </c>
      <c r="G100" s="265">
        <v>34.1</v>
      </c>
      <c r="H100" s="265">
        <v>18.100000000000001</v>
      </c>
      <c r="J100" s="264" t="s">
        <v>160</v>
      </c>
      <c r="K100" s="264" t="s">
        <v>27</v>
      </c>
      <c r="L100" s="264" t="s">
        <v>123</v>
      </c>
      <c r="M100" s="264" t="s">
        <v>223</v>
      </c>
      <c r="N100" s="264" t="s">
        <v>468</v>
      </c>
      <c r="O100" s="265">
        <v>2.4</v>
      </c>
      <c r="P100" s="265">
        <v>1.1000000000000001</v>
      </c>
    </row>
    <row r="101" spans="2:16">
      <c r="B101" s="264" t="s">
        <v>160</v>
      </c>
      <c r="C101" s="264" t="s">
        <v>28</v>
      </c>
      <c r="D101" s="264" t="s">
        <v>109</v>
      </c>
      <c r="E101" s="264" t="s">
        <v>271</v>
      </c>
      <c r="F101" s="264" t="s">
        <v>446</v>
      </c>
      <c r="G101" s="265">
        <v>4.3</v>
      </c>
      <c r="H101" s="265">
        <v>1.9</v>
      </c>
      <c r="J101" s="264" t="s">
        <v>160</v>
      </c>
      <c r="K101" s="264" t="s">
        <v>27</v>
      </c>
      <c r="L101" s="264" t="s">
        <v>109</v>
      </c>
      <c r="M101" s="264" t="s">
        <v>223</v>
      </c>
      <c r="N101" s="264" t="s">
        <v>468</v>
      </c>
      <c r="O101" s="265">
        <v>2</v>
      </c>
      <c r="P101" s="265">
        <v>0.9</v>
      </c>
    </row>
    <row r="102" spans="2:16">
      <c r="B102" s="264" t="s">
        <v>167</v>
      </c>
      <c r="C102" s="264" t="s">
        <v>28</v>
      </c>
      <c r="D102" s="264" t="s">
        <v>258</v>
      </c>
      <c r="E102" s="264" t="s">
        <v>273</v>
      </c>
      <c r="F102" s="264" t="s">
        <v>451</v>
      </c>
      <c r="G102" s="265">
        <v>109.2</v>
      </c>
      <c r="H102" s="265">
        <v>57.8</v>
      </c>
      <c r="J102" s="264" t="s">
        <v>160</v>
      </c>
      <c r="K102" s="264" t="s">
        <v>27</v>
      </c>
      <c r="L102" s="264" t="s">
        <v>165</v>
      </c>
      <c r="M102" s="264" t="s">
        <v>226</v>
      </c>
      <c r="N102" s="264" t="s">
        <v>472</v>
      </c>
      <c r="O102" s="265">
        <v>7.4</v>
      </c>
      <c r="P102" s="265">
        <v>2.7</v>
      </c>
    </row>
    <row r="103" spans="2:16">
      <c r="B103" s="264" t="s">
        <v>167</v>
      </c>
      <c r="C103" s="264" t="s">
        <v>28</v>
      </c>
      <c r="D103" s="264" t="s">
        <v>258</v>
      </c>
      <c r="E103" s="264" t="s">
        <v>275</v>
      </c>
      <c r="F103" s="264" t="s">
        <v>458</v>
      </c>
      <c r="G103" s="265">
        <v>28.1</v>
      </c>
      <c r="H103" s="265">
        <v>11.5</v>
      </c>
      <c r="J103" s="264" t="s">
        <v>160</v>
      </c>
      <c r="K103" s="264" t="s">
        <v>27</v>
      </c>
      <c r="L103" s="264" t="s">
        <v>164</v>
      </c>
      <c r="M103" s="264" t="s">
        <v>211</v>
      </c>
      <c r="N103" s="264" t="s">
        <v>450</v>
      </c>
      <c r="O103" s="265">
        <v>7.7</v>
      </c>
      <c r="P103" s="265">
        <v>2.8</v>
      </c>
    </row>
    <row r="104" spans="2:16">
      <c r="B104" s="264" t="s">
        <v>167</v>
      </c>
      <c r="C104" s="264" t="s">
        <v>28</v>
      </c>
      <c r="D104" s="264" t="s">
        <v>258</v>
      </c>
      <c r="E104" s="264" t="s">
        <v>271</v>
      </c>
      <c r="F104" s="264" t="s">
        <v>446</v>
      </c>
      <c r="G104" s="265">
        <v>13.8</v>
      </c>
      <c r="H104" s="265">
        <v>6.2</v>
      </c>
      <c r="J104" s="264" t="s">
        <v>167</v>
      </c>
      <c r="K104" s="264" t="s">
        <v>27</v>
      </c>
      <c r="L104" s="264" t="s">
        <v>168</v>
      </c>
      <c r="M104" s="264" t="s">
        <v>227</v>
      </c>
      <c r="N104" s="264" t="s">
        <v>473</v>
      </c>
      <c r="O104" s="265">
        <v>46.8</v>
      </c>
      <c r="P104" s="265">
        <v>18.2</v>
      </c>
    </row>
    <row r="105" spans="2:16">
      <c r="B105" s="264" t="s">
        <v>167</v>
      </c>
      <c r="C105" s="264" t="s">
        <v>28</v>
      </c>
      <c r="D105" s="264" t="s">
        <v>259</v>
      </c>
      <c r="E105" s="264" t="s">
        <v>273</v>
      </c>
      <c r="F105" s="264" t="s">
        <v>451</v>
      </c>
      <c r="G105" s="265">
        <v>81.900000000000006</v>
      </c>
      <c r="H105" s="265">
        <v>43.4</v>
      </c>
      <c r="J105" s="264" t="s">
        <v>167</v>
      </c>
      <c r="K105" s="264" t="s">
        <v>27</v>
      </c>
      <c r="L105" s="264" t="s">
        <v>170</v>
      </c>
      <c r="M105" s="264" t="s">
        <v>228</v>
      </c>
      <c r="N105" s="264" t="s">
        <v>470</v>
      </c>
      <c r="O105" s="265">
        <v>5.9</v>
      </c>
      <c r="P105" s="265">
        <v>2.1</v>
      </c>
    </row>
    <row r="106" spans="2:16">
      <c r="B106" s="264" t="s">
        <v>167</v>
      </c>
      <c r="C106" s="264" t="s">
        <v>28</v>
      </c>
      <c r="D106" s="264" t="s">
        <v>259</v>
      </c>
      <c r="E106" s="264" t="s">
        <v>275</v>
      </c>
      <c r="F106" s="264" t="s">
        <v>458</v>
      </c>
      <c r="G106" s="265">
        <v>21.1</v>
      </c>
      <c r="H106" s="265">
        <v>8.6</v>
      </c>
      <c r="J106" s="264" t="s">
        <v>167</v>
      </c>
      <c r="K106" s="264" t="s">
        <v>27</v>
      </c>
      <c r="L106" s="264" t="s">
        <v>170</v>
      </c>
      <c r="M106" s="264" t="s">
        <v>209</v>
      </c>
      <c r="N106" s="264" t="s">
        <v>467</v>
      </c>
      <c r="O106" s="265">
        <v>21.9</v>
      </c>
      <c r="P106" s="265">
        <v>10.1</v>
      </c>
    </row>
    <row r="107" spans="2:16">
      <c r="B107" s="264" t="s">
        <v>167</v>
      </c>
      <c r="C107" s="264" t="s">
        <v>28</v>
      </c>
      <c r="D107" s="264" t="s">
        <v>259</v>
      </c>
      <c r="E107" s="264" t="s">
        <v>271</v>
      </c>
      <c r="F107" s="264" t="s">
        <v>446</v>
      </c>
      <c r="G107" s="265">
        <v>10.3</v>
      </c>
      <c r="H107" s="265">
        <v>4.7</v>
      </c>
      <c r="J107" s="264" t="s">
        <v>167</v>
      </c>
      <c r="K107" s="264" t="s">
        <v>27</v>
      </c>
      <c r="L107" s="264" t="s">
        <v>172</v>
      </c>
      <c r="M107" s="264" t="s">
        <v>228</v>
      </c>
      <c r="N107" s="264" t="s">
        <v>470</v>
      </c>
      <c r="O107" s="265">
        <v>4.4000000000000004</v>
      </c>
      <c r="P107" s="265">
        <v>1.6</v>
      </c>
    </row>
    <row r="108" spans="2:16">
      <c r="B108" s="264" t="s">
        <v>167</v>
      </c>
      <c r="C108" s="264" t="s">
        <v>28</v>
      </c>
      <c r="D108" s="264" t="s">
        <v>245</v>
      </c>
      <c r="E108" s="264" t="s">
        <v>278</v>
      </c>
      <c r="F108" s="264" t="s">
        <v>455</v>
      </c>
      <c r="G108" s="265">
        <v>47.9</v>
      </c>
      <c r="H108" s="265">
        <v>22.7</v>
      </c>
      <c r="J108" s="264" t="s">
        <v>167</v>
      </c>
      <c r="K108" s="264" t="s">
        <v>27</v>
      </c>
      <c r="L108" s="264" t="s">
        <v>172</v>
      </c>
      <c r="M108" s="264" t="s">
        <v>209</v>
      </c>
      <c r="N108" s="264" t="s">
        <v>467</v>
      </c>
      <c r="O108" s="265">
        <v>16.399999999999999</v>
      </c>
      <c r="P108" s="265">
        <v>7.6</v>
      </c>
    </row>
    <row r="109" spans="2:16">
      <c r="B109" s="264" t="s">
        <v>167</v>
      </c>
      <c r="C109" s="264" t="s">
        <v>28</v>
      </c>
      <c r="D109" s="264" t="s">
        <v>261</v>
      </c>
      <c r="E109" s="264" t="s">
        <v>272</v>
      </c>
      <c r="F109" s="264" t="s">
        <v>448</v>
      </c>
      <c r="G109" s="265">
        <v>5.4</v>
      </c>
      <c r="H109" s="265">
        <v>1.9</v>
      </c>
      <c r="J109" s="264" t="s">
        <v>167</v>
      </c>
      <c r="K109" s="264" t="s">
        <v>27</v>
      </c>
      <c r="L109" s="264" t="s">
        <v>173</v>
      </c>
      <c r="M109" s="264" t="s">
        <v>228</v>
      </c>
      <c r="N109" s="264" t="s">
        <v>470</v>
      </c>
      <c r="O109" s="265">
        <v>2.2000000000000002</v>
      </c>
      <c r="P109" s="265">
        <v>0.8</v>
      </c>
    </row>
    <row r="110" spans="2:16">
      <c r="B110" s="264" t="s">
        <v>167</v>
      </c>
      <c r="C110" s="264" t="s">
        <v>28</v>
      </c>
      <c r="D110" s="264" t="s">
        <v>261</v>
      </c>
      <c r="E110" s="264" t="s">
        <v>273</v>
      </c>
      <c r="F110" s="264" t="s">
        <v>451</v>
      </c>
      <c r="G110" s="265">
        <v>136.4</v>
      </c>
      <c r="H110" s="265">
        <v>72.3</v>
      </c>
      <c r="J110" s="264" t="s">
        <v>167</v>
      </c>
      <c r="K110" s="264" t="s">
        <v>27</v>
      </c>
      <c r="L110" s="264" t="s">
        <v>173</v>
      </c>
      <c r="M110" s="264" t="s">
        <v>209</v>
      </c>
      <c r="N110" s="264" t="s">
        <v>467</v>
      </c>
      <c r="O110" s="265">
        <v>8.1999999999999993</v>
      </c>
      <c r="P110" s="265">
        <v>3.8</v>
      </c>
    </row>
    <row r="111" spans="2:16">
      <c r="B111" s="264" t="s">
        <v>167</v>
      </c>
      <c r="C111" s="264" t="s">
        <v>28</v>
      </c>
      <c r="D111" s="264" t="s">
        <v>261</v>
      </c>
      <c r="E111" s="264" t="s">
        <v>275</v>
      </c>
      <c r="F111" s="264" t="s">
        <v>458</v>
      </c>
      <c r="G111" s="265">
        <v>35.1</v>
      </c>
      <c r="H111" s="265">
        <v>14.3</v>
      </c>
      <c r="J111" s="264" t="s">
        <v>167</v>
      </c>
      <c r="K111" s="264" t="s">
        <v>27</v>
      </c>
      <c r="L111" s="264" t="s">
        <v>174</v>
      </c>
      <c r="M111" s="264" t="s">
        <v>228</v>
      </c>
      <c r="N111" s="264" t="s">
        <v>470</v>
      </c>
      <c r="O111" s="265">
        <v>7.4</v>
      </c>
      <c r="P111" s="265">
        <v>2.7</v>
      </c>
    </row>
    <row r="112" spans="2:16">
      <c r="B112" s="264" t="s">
        <v>167</v>
      </c>
      <c r="C112" s="264" t="s">
        <v>28</v>
      </c>
      <c r="D112" s="264" t="s">
        <v>261</v>
      </c>
      <c r="E112" s="264" t="s">
        <v>271</v>
      </c>
      <c r="F112" s="264" t="s">
        <v>446</v>
      </c>
      <c r="G112" s="265">
        <v>17.2</v>
      </c>
      <c r="H112" s="265">
        <v>7.8</v>
      </c>
      <c r="J112" s="264" t="s">
        <v>167</v>
      </c>
      <c r="K112" s="264" t="s">
        <v>27</v>
      </c>
      <c r="L112" s="264" t="s">
        <v>174</v>
      </c>
      <c r="M112" s="264" t="s">
        <v>209</v>
      </c>
      <c r="N112" s="264" t="s">
        <v>467</v>
      </c>
      <c r="O112" s="265">
        <v>27.4</v>
      </c>
      <c r="P112" s="265">
        <v>12.6</v>
      </c>
    </row>
    <row r="113" spans="2:16">
      <c r="B113" s="264" t="s">
        <v>167</v>
      </c>
      <c r="C113" s="264" t="s">
        <v>28</v>
      </c>
      <c r="D113" s="264" t="s">
        <v>173</v>
      </c>
      <c r="E113" s="264" t="s">
        <v>275</v>
      </c>
      <c r="F113" s="264" t="s">
        <v>458</v>
      </c>
      <c r="G113" s="265">
        <v>10.5</v>
      </c>
      <c r="H113" s="265">
        <v>4.3</v>
      </c>
      <c r="J113" s="264" t="s">
        <v>175</v>
      </c>
      <c r="K113" s="264" t="s">
        <v>27</v>
      </c>
      <c r="L113" s="264" t="s">
        <v>176</v>
      </c>
      <c r="M113" s="264" t="s">
        <v>227</v>
      </c>
      <c r="N113" s="264" t="s">
        <v>473</v>
      </c>
      <c r="O113" s="265">
        <v>46.8</v>
      </c>
      <c r="P113" s="265">
        <v>18.2</v>
      </c>
    </row>
    <row r="114" spans="2:16">
      <c r="B114" s="264" t="s">
        <v>167</v>
      </c>
      <c r="C114" s="264" t="s">
        <v>28</v>
      </c>
      <c r="D114" s="264" t="s">
        <v>173</v>
      </c>
      <c r="E114" s="264" t="s">
        <v>273</v>
      </c>
      <c r="F114" s="264" t="s">
        <v>451</v>
      </c>
      <c r="G114" s="265">
        <v>40.9</v>
      </c>
      <c r="H114" s="265">
        <v>21.7</v>
      </c>
      <c r="J114" s="264" t="s">
        <v>175</v>
      </c>
      <c r="K114" s="264" t="s">
        <v>27</v>
      </c>
      <c r="L114" s="264" t="s">
        <v>177</v>
      </c>
      <c r="M114" s="264" t="s">
        <v>228</v>
      </c>
      <c r="N114" s="264" t="s">
        <v>470</v>
      </c>
      <c r="O114" s="265">
        <v>7.4</v>
      </c>
      <c r="P114" s="265">
        <v>2.7</v>
      </c>
    </row>
    <row r="115" spans="2:16">
      <c r="B115" s="264" t="s">
        <v>167</v>
      </c>
      <c r="C115" s="264" t="s">
        <v>28</v>
      </c>
      <c r="D115" s="264" t="s">
        <v>173</v>
      </c>
      <c r="E115" s="264" t="s">
        <v>271</v>
      </c>
      <c r="F115" s="264" t="s">
        <v>446</v>
      </c>
      <c r="G115" s="265">
        <v>5.2</v>
      </c>
      <c r="H115" s="265">
        <v>2.2999999999999998</v>
      </c>
      <c r="J115" s="264" t="s">
        <v>178</v>
      </c>
      <c r="K115" s="264" t="s">
        <v>27</v>
      </c>
      <c r="L115" s="264" t="s">
        <v>108</v>
      </c>
      <c r="M115" s="264" t="s">
        <v>211</v>
      </c>
      <c r="N115" s="264" t="s">
        <v>450</v>
      </c>
      <c r="O115" s="265">
        <v>26.8</v>
      </c>
      <c r="P115" s="265">
        <v>11.3</v>
      </c>
    </row>
    <row r="116" spans="2:16">
      <c r="B116" s="264" t="s">
        <v>175</v>
      </c>
      <c r="C116" s="264" t="s">
        <v>28</v>
      </c>
      <c r="D116" s="264" t="s">
        <v>262</v>
      </c>
      <c r="E116" s="264" t="s">
        <v>271</v>
      </c>
      <c r="F116" s="264" t="s">
        <v>446</v>
      </c>
      <c r="G116" s="265">
        <v>17.2</v>
      </c>
      <c r="H116" s="265">
        <v>7.8</v>
      </c>
      <c r="J116" s="264" t="s">
        <v>178</v>
      </c>
      <c r="K116" s="264" t="s">
        <v>27</v>
      </c>
      <c r="L116" s="264" t="s">
        <v>110</v>
      </c>
      <c r="M116" s="264" t="s">
        <v>210</v>
      </c>
      <c r="N116" s="264" t="s">
        <v>449</v>
      </c>
      <c r="O116" s="265">
        <v>24</v>
      </c>
      <c r="P116" s="265">
        <v>10.9</v>
      </c>
    </row>
    <row r="117" spans="2:16">
      <c r="B117" s="264" t="s">
        <v>175</v>
      </c>
      <c r="C117" s="264" t="s">
        <v>28</v>
      </c>
      <c r="D117" s="264" t="s">
        <v>251</v>
      </c>
      <c r="E117" s="264" t="s">
        <v>273</v>
      </c>
      <c r="F117" s="264" t="s">
        <v>451</v>
      </c>
      <c r="G117" s="265">
        <v>136.4</v>
      </c>
      <c r="H117" s="265">
        <v>72.3</v>
      </c>
      <c r="J117" s="264" t="s">
        <v>178</v>
      </c>
      <c r="K117" s="264" t="s">
        <v>27</v>
      </c>
      <c r="L117" s="264" t="s">
        <v>111</v>
      </c>
      <c r="M117" s="264" t="s">
        <v>211</v>
      </c>
      <c r="N117" s="264" t="s">
        <v>450</v>
      </c>
      <c r="O117" s="265">
        <v>25.2</v>
      </c>
      <c r="P117" s="265">
        <v>9.6999999999999993</v>
      </c>
    </row>
    <row r="118" spans="2:16">
      <c r="B118" s="264" t="s">
        <v>175</v>
      </c>
      <c r="C118" s="264" t="s">
        <v>28</v>
      </c>
      <c r="D118" s="264" t="s">
        <v>177</v>
      </c>
      <c r="E118" s="264" t="s">
        <v>272</v>
      </c>
      <c r="F118" s="264" t="s">
        <v>448</v>
      </c>
      <c r="G118" s="265">
        <v>5.4</v>
      </c>
      <c r="H118" s="265">
        <v>1.9</v>
      </c>
      <c r="J118" s="264" t="s">
        <v>178</v>
      </c>
      <c r="K118" s="264" t="s">
        <v>27</v>
      </c>
      <c r="L118" s="264" t="s">
        <v>109</v>
      </c>
      <c r="M118" s="264" t="s">
        <v>210</v>
      </c>
      <c r="N118" s="264" t="s">
        <v>449</v>
      </c>
      <c r="O118" s="265">
        <v>7.2</v>
      </c>
      <c r="P118" s="265">
        <v>3.3</v>
      </c>
    </row>
    <row r="119" spans="2:16">
      <c r="B119" s="264" t="s">
        <v>175</v>
      </c>
      <c r="C119" s="264" t="s">
        <v>28</v>
      </c>
      <c r="D119" s="264" t="s">
        <v>134</v>
      </c>
      <c r="E119" s="264" t="s">
        <v>273</v>
      </c>
      <c r="F119" s="264" t="s">
        <v>451</v>
      </c>
      <c r="G119" s="265">
        <v>68.2</v>
      </c>
      <c r="H119" s="265">
        <v>36.1</v>
      </c>
      <c r="J119" s="264" t="s">
        <v>179</v>
      </c>
      <c r="K119" s="264" t="s">
        <v>27</v>
      </c>
      <c r="L119" s="264" t="s">
        <v>108</v>
      </c>
      <c r="M119" s="264" t="s">
        <v>211</v>
      </c>
      <c r="N119" s="264" t="s">
        <v>450</v>
      </c>
      <c r="O119" s="265">
        <v>26.8</v>
      </c>
      <c r="P119" s="265">
        <v>11.3</v>
      </c>
    </row>
    <row r="120" spans="2:16">
      <c r="B120" s="264" t="s">
        <v>175</v>
      </c>
      <c r="C120" s="264" t="s">
        <v>28</v>
      </c>
      <c r="D120" s="264" t="s">
        <v>263</v>
      </c>
      <c r="E120" s="264" t="s">
        <v>271</v>
      </c>
      <c r="F120" s="264" t="s">
        <v>446</v>
      </c>
      <c r="G120" s="265">
        <v>8.6</v>
      </c>
      <c r="H120" s="265">
        <v>3.9</v>
      </c>
      <c r="J120" s="264" t="s">
        <v>179</v>
      </c>
      <c r="K120" s="264" t="s">
        <v>27</v>
      </c>
      <c r="L120" s="264" t="s">
        <v>149</v>
      </c>
      <c r="M120" s="264" t="s">
        <v>223</v>
      </c>
      <c r="N120" s="264" t="s">
        <v>468</v>
      </c>
      <c r="O120" s="265">
        <v>55.6</v>
      </c>
      <c r="P120" s="265">
        <v>22.7</v>
      </c>
    </row>
    <row r="121" spans="2:16">
      <c r="B121" s="264" t="s">
        <v>178</v>
      </c>
      <c r="C121" s="264" t="s">
        <v>28</v>
      </c>
      <c r="D121" s="264" t="s">
        <v>240</v>
      </c>
      <c r="E121" s="264" t="s">
        <v>272</v>
      </c>
      <c r="F121" s="264" t="s">
        <v>448</v>
      </c>
      <c r="G121" s="265">
        <v>7.6</v>
      </c>
      <c r="H121" s="265">
        <v>4.2</v>
      </c>
      <c r="J121" s="264" t="s">
        <v>179</v>
      </c>
      <c r="K121" s="264" t="s">
        <v>27</v>
      </c>
      <c r="L121" s="264" t="s">
        <v>132</v>
      </c>
      <c r="M121" s="264" t="s">
        <v>209</v>
      </c>
      <c r="N121" s="264" t="s">
        <v>447</v>
      </c>
      <c r="O121" s="265">
        <v>24.7</v>
      </c>
      <c r="P121" s="265">
        <v>11.4</v>
      </c>
    </row>
    <row r="122" spans="2:16">
      <c r="B122" s="264" t="s">
        <v>178</v>
      </c>
      <c r="C122" s="264" t="s">
        <v>28</v>
      </c>
      <c r="D122" s="264" t="s">
        <v>264</v>
      </c>
      <c r="E122" s="264" t="s">
        <v>275</v>
      </c>
      <c r="F122" s="264" t="s">
        <v>458</v>
      </c>
      <c r="G122" s="265">
        <v>35.1</v>
      </c>
      <c r="H122" s="265">
        <v>14.3</v>
      </c>
      <c r="J122" s="264" t="s">
        <v>179</v>
      </c>
      <c r="K122" s="264" t="s">
        <v>27</v>
      </c>
      <c r="L122" s="264" t="s">
        <v>132</v>
      </c>
      <c r="M122" s="264" t="s">
        <v>210</v>
      </c>
      <c r="N122" s="264" t="s">
        <v>449</v>
      </c>
      <c r="O122" s="265">
        <v>24</v>
      </c>
      <c r="P122" s="265">
        <v>10.9</v>
      </c>
    </row>
    <row r="123" spans="2:16">
      <c r="B123" s="264" t="s">
        <v>178</v>
      </c>
      <c r="C123" s="264" t="s">
        <v>28</v>
      </c>
      <c r="D123" s="264" t="s">
        <v>265</v>
      </c>
      <c r="E123" s="264" t="s">
        <v>271</v>
      </c>
      <c r="F123" s="264" t="s">
        <v>446</v>
      </c>
      <c r="G123" s="265">
        <v>17.2</v>
      </c>
      <c r="H123" s="265">
        <v>7.8</v>
      </c>
      <c r="J123" s="264" t="s">
        <v>179</v>
      </c>
      <c r="K123" s="264" t="s">
        <v>27</v>
      </c>
      <c r="L123" s="264" t="s">
        <v>111</v>
      </c>
      <c r="M123" s="264" t="s">
        <v>211</v>
      </c>
      <c r="N123" s="264" t="s">
        <v>450</v>
      </c>
      <c r="O123" s="265">
        <v>25.2</v>
      </c>
      <c r="P123" s="265">
        <v>9.6999999999999993</v>
      </c>
    </row>
    <row r="124" spans="2:16">
      <c r="B124" s="264" t="s">
        <v>178</v>
      </c>
      <c r="C124" s="264" t="s">
        <v>28</v>
      </c>
      <c r="D124" s="264" t="s">
        <v>111</v>
      </c>
      <c r="E124" s="264" t="s">
        <v>272</v>
      </c>
      <c r="F124" s="264" t="s">
        <v>448</v>
      </c>
      <c r="G124" s="265">
        <v>5.4</v>
      </c>
      <c r="H124" s="265">
        <v>1.9</v>
      </c>
      <c r="J124" s="264" t="s">
        <v>179</v>
      </c>
      <c r="K124" s="264" t="s">
        <v>27</v>
      </c>
      <c r="L124" s="264" t="s">
        <v>134</v>
      </c>
      <c r="M124" s="264" t="s">
        <v>209</v>
      </c>
      <c r="N124" s="264" t="s">
        <v>447</v>
      </c>
      <c r="O124" s="265">
        <v>7.4</v>
      </c>
      <c r="P124" s="265">
        <v>3.4</v>
      </c>
    </row>
    <row r="125" spans="2:16">
      <c r="B125" s="264" t="s">
        <v>178</v>
      </c>
      <c r="C125" s="264" t="s">
        <v>28</v>
      </c>
      <c r="D125" s="264" t="s">
        <v>109</v>
      </c>
      <c r="E125" s="264" t="s">
        <v>273</v>
      </c>
      <c r="F125" s="264" t="s">
        <v>451</v>
      </c>
      <c r="G125" s="265">
        <v>40.9</v>
      </c>
      <c r="H125" s="265">
        <v>21.7</v>
      </c>
      <c r="J125" s="264" t="s">
        <v>179</v>
      </c>
      <c r="K125" s="264" t="s">
        <v>27</v>
      </c>
      <c r="L125" s="264" t="s">
        <v>134</v>
      </c>
      <c r="M125" s="264" t="s">
        <v>210</v>
      </c>
      <c r="N125" s="264" t="s">
        <v>449</v>
      </c>
      <c r="O125" s="265">
        <v>7.2</v>
      </c>
      <c r="P125" s="265">
        <v>3.3</v>
      </c>
    </row>
    <row r="126" spans="2:16">
      <c r="B126" s="264" t="s">
        <v>178</v>
      </c>
      <c r="C126" s="264" t="s">
        <v>28</v>
      </c>
      <c r="D126" s="264" t="s">
        <v>109</v>
      </c>
      <c r="E126" s="264" t="s">
        <v>275</v>
      </c>
      <c r="F126" s="264" t="s">
        <v>458</v>
      </c>
      <c r="G126" s="265">
        <v>10.5</v>
      </c>
      <c r="H126" s="265">
        <v>4.3</v>
      </c>
      <c r="J126" s="264" t="s">
        <v>180</v>
      </c>
      <c r="K126" s="264" t="s">
        <v>27</v>
      </c>
      <c r="L126" s="264" t="s">
        <v>108</v>
      </c>
      <c r="M126" s="264" t="s">
        <v>211</v>
      </c>
      <c r="N126" s="264" t="s">
        <v>450</v>
      </c>
      <c r="O126" s="265">
        <v>26.8</v>
      </c>
      <c r="P126" s="265">
        <v>11.3</v>
      </c>
    </row>
    <row r="127" spans="2:16">
      <c r="B127" s="264" t="s">
        <v>178</v>
      </c>
      <c r="C127" s="264" t="s">
        <v>28</v>
      </c>
      <c r="D127" s="264" t="s">
        <v>109</v>
      </c>
      <c r="E127" s="264" t="s">
        <v>271</v>
      </c>
      <c r="F127" s="264" t="s">
        <v>446</v>
      </c>
      <c r="G127" s="265">
        <v>5.2</v>
      </c>
      <c r="H127" s="265">
        <v>2.2999999999999998</v>
      </c>
      <c r="J127" s="264" t="s">
        <v>180</v>
      </c>
      <c r="K127" s="264" t="s">
        <v>27</v>
      </c>
      <c r="L127" s="264" t="s">
        <v>110</v>
      </c>
      <c r="M127" s="264" t="s">
        <v>209</v>
      </c>
      <c r="N127" s="264" t="s">
        <v>447</v>
      </c>
      <c r="O127" s="265">
        <v>24.7</v>
      </c>
      <c r="P127" s="265">
        <v>11.4</v>
      </c>
    </row>
    <row r="128" spans="2:16">
      <c r="B128" s="264" t="s">
        <v>179</v>
      </c>
      <c r="C128" s="264" t="s">
        <v>28</v>
      </c>
      <c r="D128" s="264" t="s">
        <v>108</v>
      </c>
      <c r="E128" s="264" t="s">
        <v>272</v>
      </c>
      <c r="F128" s="264" t="s">
        <v>448</v>
      </c>
      <c r="G128" s="265">
        <v>7.6</v>
      </c>
      <c r="H128" s="265">
        <v>4.2</v>
      </c>
      <c r="J128" s="264" t="s">
        <v>180</v>
      </c>
      <c r="K128" s="264" t="s">
        <v>27</v>
      </c>
      <c r="L128" s="264" t="s">
        <v>110</v>
      </c>
      <c r="M128" s="264" t="s">
        <v>210</v>
      </c>
      <c r="N128" s="264" t="s">
        <v>449</v>
      </c>
      <c r="O128" s="265">
        <v>24</v>
      </c>
      <c r="P128" s="265">
        <v>10.9</v>
      </c>
    </row>
    <row r="129" spans="2:16">
      <c r="B129" s="264" t="s">
        <v>179</v>
      </c>
      <c r="C129" s="264" t="s">
        <v>28</v>
      </c>
      <c r="D129" s="264" t="s">
        <v>132</v>
      </c>
      <c r="E129" s="264" t="s">
        <v>275</v>
      </c>
      <c r="F129" s="264" t="s">
        <v>458</v>
      </c>
      <c r="G129" s="265">
        <v>35.1</v>
      </c>
      <c r="H129" s="265">
        <v>14.3</v>
      </c>
      <c r="J129" s="264" t="s">
        <v>180</v>
      </c>
      <c r="K129" s="264" t="s">
        <v>27</v>
      </c>
      <c r="L129" s="264" t="s">
        <v>111</v>
      </c>
      <c r="M129" s="264" t="s">
        <v>211</v>
      </c>
      <c r="N129" s="264" t="s">
        <v>450</v>
      </c>
      <c r="O129" s="265">
        <v>25.2</v>
      </c>
      <c r="P129" s="265">
        <v>9.6999999999999993</v>
      </c>
    </row>
    <row r="130" spans="2:16">
      <c r="B130" s="264" t="s">
        <v>179</v>
      </c>
      <c r="C130" s="264" t="s">
        <v>28</v>
      </c>
      <c r="D130" s="264" t="s">
        <v>132</v>
      </c>
      <c r="E130" s="264" t="s">
        <v>271</v>
      </c>
      <c r="F130" s="264" t="s">
        <v>446</v>
      </c>
      <c r="G130" s="265">
        <v>17.2</v>
      </c>
      <c r="H130" s="265">
        <v>7.8</v>
      </c>
      <c r="J130" s="264" t="s">
        <v>180</v>
      </c>
      <c r="K130" s="264" t="s">
        <v>27</v>
      </c>
      <c r="L130" s="264" t="s">
        <v>109</v>
      </c>
      <c r="M130" s="264" t="s">
        <v>209</v>
      </c>
      <c r="N130" s="264" t="s">
        <v>447</v>
      </c>
      <c r="O130" s="265">
        <v>7.4</v>
      </c>
      <c r="P130" s="265">
        <v>3.4</v>
      </c>
    </row>
    <row r="131" spans="2:16">
      <c r="B131" s="264" t="s">
        <v>179</v>
      </c>
      <c r="C131" s="264" t="s">
        <v>28</v>
      </c>
      <c r="D131" s="264" t="s">
        <v>111</v>
      </c>
      <c r="E131" s="264" t="s">
        <v>272</v>
      </c>
      <c r="F131" s="264" t="s">
        <v>448</v>
      </c>
      <c r="G131" s="265">
        <v>5.4</v>
      </c>
      <c r="H131" s="265">
        <v>1.9</v>
      </c>
      <c r="J131" s="264" t="s">
        <v>180</v>
      </c>
      <c r="K131" s="264" t="s">
        <v>27</v>
      </c>
      <c r="L131" s="264" t="s">
        <v>109</v>
      </c>
      <c r="M131" s="264" t="s">
        <v>210</v>
      </c>
      <c r="N131" s="264" t="s">
        <v>449</v>
      </c>
      <c r="O131" s="265">
        <v>7.2</v>
      </c>
      <c r="P131" s="265">
        <v>3.3</v>
      </c>
    </row>
    <row r="132" spans="2:16">
      <c r="B132" s="264" t="s">
        <v>179</v>
      </c>
      <c r="C132" s="264" t="s">
        <v>28</v>
      </c>
      <c r="D132" s="264" t="s">
        <v>257</v>
      </c>
      <c r="E132" s="264" t="s">
        <v>279</v>
      </c>
      <c r="F132" s="264" t="s">
        <v>451</v>
      </c>
      <c r="G132" s="265">
        <v>136.4</v>
      </c>
      <c r="H132" s="265">
        <v>72.3</v>
      </c>
      <c r="J132" s="264" t="s">
        <v>181</v>
      </c>
      <c r="K132" s="264" t="s">
        <v>27</v>
      </c>
      <c r="L132" s="264" t="s">
        <v>108</v>
      </c>
      <c r="M132" s="264" t="s">
        <v>211</v>
      </c>
      <c r="N132" s="264" t="s">
        <v>450</v>
      </c>
      <c r="O132" s="265">
        <v>26.8</v>
      </c>
      <c r="P132" s="265">
        <v>11.3</v>
      </c>
    </row>
    <row r="133" spans="2:16">
      <c r="B133" s="264" t="s">
        <v>179</v>
      </c>
      <c r="C133" s="264" t="s">
        <v>28</v>
      </c>
      <c r="D133" s="264" t="s">
        <v>134</v>
      </c>
      <c r="E133" s="264" t="s">
        <v>273</v>
      </c>
      <c r="F133" s="264" t="s">
        <v>451</v>
      </c>
      <c r="G133" s="265">
        <v>40.9</v>
      </c>
      <c r="H133" s="265">
        <v>21.7</v>
      </c>
      <c r="J133" s="264" t="s">
        <v>181</v>
      </c>
      <c r="K133" s="264" t="s">
        <v>27</v>
      </c>
      <c r="L133" s="264" t="s">
        <v>110</v>
      </c>
      <c r="M133" s="264" t="s">
        <v>210</v>
      </c>
      <c r="N133" s="264" t="s">
        <v>449</v>
      </c>
      <c r="O133" s="265">
        <v>24</v>
      </c>
      <c r="P133" s="265">
        <v>10.9</v>
      </c>
    </row>
    <row r="134" spans="2:16">
      <c r="B134" s="264" t="s">
        <v>179</v>
      </c>
      <c r="C134" s="264" t="s">
        <v>28</v>
      </c>
      <c r="D134" s="264" t="s">
        <v>134</v>
      </c>
      <c r="E134" s="264" t="s">
        <v>275</v>
      </c>
      <c r="F134" s="264" t="s">
        <v>458</v>
      </c>
      <c r="G134" s="265">
        <v>10.5</v>
      </c>
      <c r="H134" s="265">
        <v>4.3</v>
      </c>
      <c r="J134" s="264" t="s">
        <v>181</v>
      </c>
      <c r="K134" s="264" t="s">
        <v>27</v>
      </c>
      <c r="L134" s="264" t="s">
        <v>111</v>
      </c>
      <c r="M134" s="264" t="s">
        <v>211</v>
      </c>
      <c r="N134" s="264" t="s">
        <v>450</v>
      </c>
      <c r="O134" s="265">
        <v>25.2</v>
      </c>
      <c r="P134" s="265">
        <v>9.6999999999999993</v>
      </c>
    </row>
    <row r="135" spans="2:16">
      <c r="B135" s="264" t="s">
        <v>179</v>
      </c>
      <c r="C135" s="264" t="s">
        <v>28</v>
      </c>
      <c r="D135" s="264" t="s">
        <v>134</v>
      </c>
      <c r="E135" s="264" t="s">
        <v>271</v>
      </c>
      <c r="F135" s="264" t="s">
        <v>446</v>
      </c>
      <c r="G135" s="265">
        <v>5.2</v>
      </c>
      <c r="H135" s="265">
        <v>2.2999999999999998</v>
      </c>
      <c r="J135" s="264" t="s">
        <v>181</v>
      </c>
      <c r="K135" s="264" t="s">
        <v>27</v>
      </c>
      <c r="L135" s="264" t="s">
        <v>109</v>
      </c>
      <c r="M135" s="264" t="s">
        <v>210</v>
      </c>
      <c r="N135" s="264" t="s">
        <v>449</v>
      </c>
      <c r="O135" s="265">
        <v>9.6</v>
      </c>
      <c r="P135" s="265">
        <v>4.4000000000000004</v>
      </c>
    </row>
    <row r="136" spans="2:16">
      <c r="B136" s="264" t="s">
        <v>179</v>
      </c>
      <c r="C136" s="264" t="s">
        <v>28</v>
      </c>
      <c r="D136" s="264" t="s">
        <v>266</v>
      </c>
      <c r="E136" s="264" t="s">
        <v>271</v>
      </c>
      <c r="F136" s="264" t="s">
        <v>446</v>
      </c>
      <c r="G136" s="265">
        <v>14.4</v>
      </c>
      <c r="H136" s="265">
        <v>6.6</v>
      </c>
      <c r="J136" s="264" t="s">
        <v>181</v>
      </c>
      <c r="K136" s="264" t="s">
        <v>27</v>
      </c>
      <c r="L136" s="264" t="s">
        <v>182</v>
      </c>
      <c r="M136" s="264" t="s">
        <v>220</v>
      </c>
      <c r="N136" s="264" t="s">
        <v>462</v>
      </c>
      <c r="O136" s="265">
        <v>27</v>
      </c>
      <c r="P136" s="265">
        <v>13.4</v>
      </c>
    </row>
    <row r="137" spans="2:16">
      <c r="B137" s="264" t="s">
        <v>180</v>
      </c>
      <c r="C137" s="264" t="s">
        <v>28</v>
      </c>
      <c r="D137" s="264" t="s">
        <v>108</v>
      </c>
      <c r="E137" s="264" t="s">
        <v>272</v>
      </c>
      <c r="F137" s="264" t="s">
        <v>448</v>
      </c>
      <c r="G137" s="265">
        <v>7.6</v>
      </c>
      <c r="H137" s="265">
        <v>4.2</v>
      </c>
      <c r="J137" s="264" t="s">
        <v>229</v>
      </c>
      <c r="K137" s="264" t="s">
        <v>27</v>
      </c>
      <c r="L137" s="264" t="s">
        <v>108</v>
      </c>
      <c r="M137" s="264" t="s">
        <v>211</v>
      </c>
      <c r="N137" s="264" t="s">
        <v>450</v>
      </c>
      <c r="O137" s="265">
        <v>10.9</v>
      </c>
      <c r="P137" s="265">
        <v>5.9</v>
      </c>
    </row>
    <row r="138" spans="2:16">
      <c r="B138" s="264" t="s">
        <v>180</v>
      </c>
      <c r="C138" s="264" t="s">
        <v>28</v>
      </c>
      <c r="D138" s="264" t="s">
        <v>110</v>
      </c>
      <c r="E138" s="264" t="s">
        <v>271</v>
      </c>
      <c r="F138" s="264" t="s">
        <v>446</v>
      </c>
      <c r="G138" s="265">
        <v>17.2</v>
      </c>
      <c r="H138" s="265">
        <v>7.8</v>
      </c>
      <c r="J138" s="264" t="s">
        <v>229</v>
      </c>
      <c r="K138" s="264" t="s">
        <v>27</v>
      </c>
      <c r="L138" s="264" t="s">
        <v>108</v>
      </c>
      <c r="M138" s="264" t="s">
        <v>211</v>
      </c>
      <c r="N138" s="264" t="s">
        <v>450</v>
      </c>
      <c r="O138" s="265">
        <v>10.9</v>
      </c>
      <c r="P138" s="265">
        <v>5.9</v>
      </c>
    </row>
    <row r="139" spans="2:16">
      <c r="B139" s="264" t="s">
        <v>180</v>
      </c>
      <c r="C139" s="264" t="s">
        <v>28</v>
      </c>
      <c r="D139" s="264" t="s">
        <v>111</v>
      </c>
      <c r="E139" s="264" t="s">
        <v>272</v>
      </c>
      <c r="F139" s="264" t="s">
        <v>448</v>
      </c>
      <c r="G139" s="265">
        <v>5.4</v>
      </c>
      <c r="H139" s="265">
        <v>1.9</v>
      </c>
      <c r="J139" s="264" t="s">
        <v>229</v>
      </c>
      <c r="K139" s="264" t="s">
        <v>27</v>
      </c>
      <c r="L139" s="264" t="s">
        <v>184</v>
      </c>
      <c r="M139" s="264" t="s">
        <v>210</v>
      </c>
      <c r="N139" s="264" t="s">
        <v>449</v>
      </c>
      <c r="O139" s="265">
        <v>24</v>
      </c>
      <c r="P139" s="265">
        <v>10.9</v>
      </c>
    </row>
    <row r="140" spans="2:16">
      <c r="B140" s="264" t="s">
        <v>180</v>
      </c>
      <c r="C140" s="264" t="s">
        <v>28</v>
      </c>
      <c r="D140" s="264" t="s">
        <v>109</v>
      </c>
      <c r="E140" s="264" t="s">
        <v>273</v>
      </c>
      <c r="F140" s="264" t="s">
        <v>451</v>
      </c>
      <c r="G140" s="265">
        <v>40.9</v>
      </c>
      <c r="H140" s="265">
        <v>21.7</v>
      </c>
      <c r="J140" s="264" t="s">
        <v>229</v>
      </c>
      <c r="K140" s="264" t="s">
        <v>27</v>
      </c>
      <c r="L140" s="264" t="s">
        <v>185</v>
      </c>
      <c r="M140" s="264" t="s">
        <v>211</v>
      </c>
      <c r="N140" s="264" t="s">
        <v>450</v>
      </c>
      <c r="O140" s="265">
        <v>7.7</v>
      </c>
      <c r="P140" s="265">
        <v>2.8</v>
      </c>
    </row>
    <row r="141" spans="2:16">
      <c r="B141" s="264" t="s">
        <v>180</v>
      </c>
      <c r="C141" s="264" t="s">
        <v>28</v>
      </c>
      <c r="D141" s="264" t="s">
        <v>109</v>
      </c>
      <c r="E141" s="264" t="s">
        <v>271</v>
      </c>
      <c r="F141" s="264" t="s">
        <v>446</v>
      </c>
      <c r="G141" s="265">
        <v>5.2</v>
      </c>
      <c r="H141" s="265">
        <v>2.2999999999999998</v>
      </c>
      <c r="J141" s="264" t="s">
        <v>229</v>
      </c>
      <c r="K141" s="264" t="s">
        <v>27</v>
      </c>
      <c r="L141" s="264" t="s">
        <v>185</v>
      </c>
      <c r="M141" s="264" t="s">
        <v>211</v>
      </c>
      <c r="N141" s="264" t="s">
        <v>450</v>
      </c>
      <c r="O141" s="265">
        <v>25.2</v>
      </c>
      <c r="P141" s="265">
        <v>9.6999999999999993</v>
      </c>
    </row>
    <row r="142" spans="2:16">
      <c r="B142" s="264" t="s">
        <v>181</v>
      </c>
      <c r="C142" s="264" t="s">
        <v>28</v>
      </c>
      <c r="D142" s="264" t="s">
        <v>108</v>
      </c>
      <c r="E142" s="264" t="s">
        <v>272</v>
      </c>
      <c r="F142" s="264" t="s">
        <v>448</v>
      </c>
      <c r="G142" s="265">
        <v>7.6</v>
      </c>
      <c r="H142" s="265">
        <v>4.2</v>
      </c>
      <c r="J142" s="264" t="s">
        <v>229</v>
      </c>
      <c r="K142" s="264" t="s">
        <v>27</v>
      </c>
      <c r="L142" s="264" t="s">
        <v>186</v>
      </c>
      <c r="M142" s="264" t="s">
        <v>209</v>
      </c>
      <c r="N142" s="264" t="s">
        <v>447</v>
      </c>
      <c r="O142" s="265">
        <v>24.7</v>
      </c>
      <c r="P142" s="265">
        <v>11.4</v>
      </c>
    </row>
    <row r="143" spans="2:16">
      <c r="B143" s="264" t="s">
        <v>181</v>
      </c>
      <c r="C143" s="264" t="s">
        <v>28</v>
      </c>
      <c r="D143" s="264" t="s">
        <v>110</v>
      </c>
      <c r="E143" s="264" t="s">
        <v>275</v>
      </c>
      <c r="F143" s="264" t="s">
        <v>458</v>
      </c>
      <c r="G143" s="265">
        <v>35.1</v>
      </c>
      <c r="H143" s="265">
        <v>14.3</v>
      </c>
      <c r="J143" s="264" t="s">
        <v>187</v>
      </c>
      <c r="K143" s="264" t="s">
        <v>27</v>
      </c>
      <c r="L143" s="264" t="s">
        <v>188</v>
      </c>
      <c r="M143" s="264" t="s">
        <v>210</v>
      </c>
      <c r="N143" s="264" t="s">
        <v>449</v>
      </c>
      <c r="O143" s="265">
        <v>24</v>
      </c>
      <c r="P143" s="265">
        <v>10.9</v>
      </c>
    </row>
    <row r="144" spans="2:16">
      <c r="B144" s="264" t="s">
        <v>181</v>
      </c>
      <c r="C144" s="264" t="s">
        <v>28</v>
      </c>
      <c r="D144" s="264" t="s">
        <v>110</v>
      </c>
      <c r="E144" s="264" t="s">
        <v>271</v>
      </c>
      <c r="F144" s="264" t="s">
        <v>446</v>
      </c>
      <c r="G144" s="265">
        <v>17.2</v>
      </c>
      <c r="H144" s="265">
        <v>7.8</v>
      </c>
      <c r="J144" s="264" t="s">
        <v>187</v>
      </c>
      <c r="K144" s="264" t="s">
        <v>27</v>
      </c>
      <c r="L144" s="264" t="s">
        <v>188</v>
      </c>
      <c r="M144" s="264" t="s">
        <v>211</v>
      </c>
      <c r="N144" s="264" t="s">
        <v>450</v>
      </c>
      <c r="O144" s="265">
        <v>26.8</v>
      </c>
      <c r="P144" s="265">
        <v>11.3</v>
      </c>
    </row>
    <row r="145" spans="2:16">
      <c r="B145" s="264" t="s">
        <v>181</v>
      </c>
      <c r="C145" s="264" t="s">
        <v>28</v>
      </c>
      <c r="D145" s="264" t="s">
        <v>111</v>
      </c>
      <c r="E145" s="264" t="s">
        <v>272</v>
      </c>
      <c r="F145" s="264" t="s">
        <v>448</v>
      </c>
      <c r="G145" s="265">
        <v>5.4</v>
      </c>
      <c r="H145" s="265">
        <v>1.9</v>
      </c>
      <c r="J145" s="264" t="s">
        <v>187</v>
      </c>
      <c r="K145" s="264" t="s">
        <v>27</v>
      </c>
      <c r="L145" s="264" t="s">
        <v>189</v>
      </c>
      <c r="M145" s="264" t="s">
        <v>230</v>
      </c>
      <c r="N145" s="264" t="s">
        <v>456</v>
      </c>
      <c r="O145" s="265">
        <v>21.7</v>
      </c>
      <c r="P145" s="265">
        <v>10</v>
      </c>
    </row>
    <row r="146" spans="2:16">
      <c r="B146" s="264" t="s">
        <v>181</v>
      </c>
      <c r="C146" s="264" t="s">
        <v>28</v>
      </c>
      <c r="D146" s="264" t="s">
        <v>109</v>
      </c>
      <c r="E146" s="264" t="s">
        <v>273</v>
      </c>
      <c r="F146" s="264" t="s">
        <v>451</v>
      </c>
      <c r="G146" s="265">
        <v>54.6</v>
      </c>
      <c r="H146" s="265">
        <v>28.9</v>
      </c>
      <c r="J146" s="264" t="s">
        <v>191</v>
      </c>
      <c r="K146" s="264" t="s">
        <v>27</v>
      </c>
      <c r="L146" s="264" t="s">
        <v>108</v>
      </c>
      <c r="M146" s="264" t="s">
        <v>231</v>
      </c>
      <c r="N146" s="264" t="s">
        <v>474</v>
      </c>
      <c r="O146" s="265">
        <v>27.4</v>
      </c>
      <c r="P146" s="265">
        <v>11.5</v>
      </c>
    </row>
    <row r="147" spans="2:16">
      <c r="B147" s="264" t="s">
        <v>181</v>
      </c>
      <c r="C147" s="264" t="s">
        <v>28</v>
      </c>
      <c r="D147" s="264" t="s">
        <v>109</v>
      </c>
      <c r="E147" s="264" t="s">
        <v>275</v>
      </c>
      <c r="F147" s="264" t="s">
        <v>458</v>
      </c>
      <c r="G147" s="265">
        <v>14</v>
      </c>
      <c r="H147" s="265">
        <v>5.7</v>
      </c>
      <c r="J147" s="264" t="s">
        <v>191</v>
      </c>
      <c r="K147" s="264" t="s">
        <v>27</v>
      </c>
      <c r="L147" s="264" t="s">
        <v>108</v>
      </c>
      <c r="M147" s="264" t="s">
        <v>209</v>
      </c>
      <c r="N147" s="264" t="s">
        <v>447</v>
      </c>
      <c r="O147" s="265">
        <v>14.8</v>
      </c>
      <c r="P147" s="265">
        <v>6.9</v>
      </c>
    </row>
    <row r="148" spans="2:16">
      <c r="B148" s="264" t="s">
        <v>181</v>
      </c>
      <c r="C148" s="264" t="s">
        <v>28</v>
      </c>
      <c r="D148" s="264" t="s">
        <v>109</v>
      </c>
      <c r="E148" s="264" t="s">
        <v>271</v>
      </c>
      <c r="F148" s="264" t="s">
        <v>446</v>
      </c>
      <c r="G148" s="265">
        <v>6.9</v>
      </c>
      <c r="H148" s="265">
        <v>3.1</v>
      </c>
      <c r="J148" s="264" t="s">
        <v>191</v>
      </c>
      <c r="K148" s="264" t="s">
        <v>27</v>
      </c>
      <c r="L148" s="264" t="s">
        <v>108</v>
      </c>
      <c r="M148" s="264" t="s">
        <v>210</v>
      </c>
      <c r="N148" s="264" t="s">
        <v>449</v>
      </c>
      <c r="O148" s="265">
        <v>14.4</v>
      </c>
      <c r="P148" s="265">
        <v>6.5</v>
      </c>
    </row>
    <row r="149" spans="2:16">
      <c r="B149" s="264" t="s">
        <v>229</v>
      </c>
      <c r="C149" s="264" t="s">
        <v>28</v>
      </c>
      <c r="D149" s="264" t="s">
        <v>108</v>
      </c>
      <c r="E149" s="264" t="s">
        <v>272</v>
      </c>
      <c r="F149" s="264" t="s">
        <v>448</v>
      </c>
      <c r="G149" s="265">
        <v>7.6</v>
      </c>
      <c r="H149" s="265">
        <v>4.2</v>
      </c>
      <c r="J149" s="264" t="s">
        <v>191</v>
      </c>
      <c r="K149" s="264" t="s">
        <v>27</v>
      </c>
      <c r="L149" s="264" t="s">
        <v>111</v>
      </c>
      <c r="M149" s="264" t="s">
        <v>231</v>
      </c>
      <c r="N149" s="264" t="s">
        <v>474</v>
      </c>
      <c r="O149" s="265">
        <v>25.7</v>
      </c>
      <c r="P149" s="265">
        <v>9.9</v>
      </c>
    </row>
    <row r="150" spans="2:16">
      <c r="B150" s="264" t="s">
        <v>229</v>
      </c>
      <c r="C150" s="264" t="s">
        <v>28</v>
      </c>
      <c r="D150" s="264" t="s">
        <v>110</v>
      </c>
      <c r="E150" s="264" t="s">
        <v>275</v>
      </c>
      <c r="F150" s="264" t="s">
        <v>458</v>
      </c>
      <c r="G150" s="265">
        <v>35.1</v>
      </c>
      <c r="H150" s="265">
        <v>14.3</v>
      </c>
      <c r="J150" s="264" t="s">
        <v>191</v>
      </c>
      <c r="K150" s="264" t="s">
        <v>27</v>
      </c>
      <c r="L150" s="264" t="s">
        <v>146</v>
      </c>
      <c r="M150" s="264" t="s">
        <v>209</v>
      </c>
      <c r="N150" s="264" t="s">
        <v>447</v>
      </c>
      <c r="O150" s="265">
        <v>12.4</v>
      </c>
      <c r="P150" s="265">
        <v>5.7</v>
      </c>
    </row>
    <row r="151" spans="2:16">
      <c r="B151" s="264" t="s">
        <v>229</v>
      </c>
      <c r="C151" s="264" t="s">
        <v>28</v>
      </c>
      <c r="D151" s="264" t="s">
        <v>110</v>
      </c>
      <c r="E151" s="264" t="s">
        <v>271</v>
      </c>
      <c r="F151" s="264" t="s">
        <v>446</v>
      </c>
      <c r="G151" s="265">
        <v>17.2</v>
      </c>
      <c r="H151" s="265">
        <v>7.8</v>
      </c>
      <c r="J151" s="264" t="s">
        <v>191</v>
      </c>
      <c r="K151" s="264" t="s">
        <v>27</v>
      </c>
      <c r="L151" s="264" t="s">
        <v>146</v>
      </c>
      <c r="M151" s="264" t="s">
        <v>210</v>
      </c>
      <c r="N151" s="264" t="s">
        <v>449</v>
      </c>
      <c r="O151" s="265">
        <v>12</v>
      </c>
      <c r="P151" s="265">
        <v>5.4</v>
      </c>
    </row>
    <row r="152" spans="2:16">
      <c r="B152" s="264" t="s">
        <v>229</v>
      </c>
      <c r="C152" s="264" t="s">
        <v>28</v>
      </c>
      <c r="D152" s="264" t="s">
        <v>111</v>
      </c>
      <c r="E152" s="264" t="s">
        <v>272</v>
      </c>
      <c r="F152" s="264" t="s">
        <v>448</v>
      </c>
      <c r="G152" s="265">
        <v>5.4</v>
      </c>
      <c r="H152" s="265">
        <v>1.9</v>
      </c>
      <c r="J152" s="264" t="s">
        <v>191</v>
      </c>
      <c r="K152" s="264" t="s">
        <v>27</v>
      </c>
      <c r="L152" s="264" t="s">
        <v>109</v>
      </c>
      <c r="M152" s="264" t="s">
        <v>209</v>
      </c>
      <c r="N152" s="264" t="s">
        <v>447</v>
      </c>
      <c r="O152" s="265">
        <v>7.4</v>
      </c>
      <c r="P152" s="265">
        <v>3.4</v>
      </c>
    </row>
    <row r="153" spans="2:16">
      <c r="B153" s="264" t="s">
        <v>229</v>
      </c>
      <c r="C153" s="264" t="s">
        <v>28</v>
      </c>
      <c r="D153" s="264" t="s">
        <v>109</v>
      </c>
      <c r="E153" s="264" t="s">
        <v>273</v>
      </c>
      <c r="F153" s="264" t="s">
        <v>451</v>
      </c>
      <c r="G153" s="265">
        <v>34.1</v>
      </c>
      <c r="H153" s="265">
        <v>18.100000000000001</v>
      </c>
      <c r="J153" s="264" t="s">
        <v>191</v>
      </c>
      <c r="K153" s="264" t="s">
        <v>27</v>
      </c>
      <c r="L153" s="264" t="s">
        <v>109</v>
      </c>
      <c r="M153" s="264" t="s">
        <v>210</v>
      </c>
      <c r="N153" s="264" t="s">
        <v>449</v>
      </c>
      <c r="O153" s="265">
        <v>7.2</v>
      </c>
      <c r="P153" s="265">
        <v>3.3</v>
      </c>
    </row>
    <row r="154" spans="2:16">
      <c r="B154" s="264" t="s">
        <v>229</v>
      </c>
      <c r="C154" s="264" t="s">
        <v>28</v>
      </c>
      <c r="D154" s="264" t="s">
        <v>109</v>
      </c>
      <c r="E154" s="264" t="s">
        <v>275</v>
      </c>
      <c r="F154" s="264" t="s">
        <v>458</v>
      </c>
      <c r="G154" s="265">
        <v>8.8000000000000007</v>
      </c>
      <c r="H154" s="265">
        <v>3.6</v>
      </c>
      <c r="J154" s="264" t="s">
        <v>191</v>
      </c>
      <c r="K154" s="264" t="s">
        <v>27</v>
      </c>
      <c r="L154" s="264" t="s">
        <v>193</v>
      </c>
      <c r="M154" s="264" t="s">
        <v>232</v>
      </c>
      <c r="N154" s="264" t="s">
        <v>475</v>
      </c>
      <c r="O154" s="265">
        <v>28.9</v>
      </c>
      <c r="P154" s="265">
        <v>14.4</v>
      </c>
    </row>
    <row r="155" spans="2:16">
      <c r="B155" s="264" t="s">
        <v>229</v>
      </c>
      <c r="C155" s="264" t="s">
        <v>28</v>
      </c>
      <c r="D155" s="264" t="s">
        <v>109</v>
      </c>
      <c r="E155" s="264" t="s">
        <v>271</v>
      </c>
      <c r="F155" s="264" t="s">
        <v>446</v>
      </c>
      <c r="G155" s="265">
        <v>4.3</v>
      </c>
      <c r="H155" s="265">
        <v>1.9</v>
      </c>
    </row>
    <row r="156" spans="2:16">
      <c r="B156" s="264" t="s">
        <v>187</v>
      </c>
      <c r="C156" s="264" t="s">
        <v>28</v>
      </c>
      <c r="D156" s="264" t="s">
        <v>108</v>
      </c>
      <c r="E156" s="264" t="s">
        <v>272</v>
      </c>
      <c r="F156" s="264" t="s">
        <v>448</v>
      </c>
      <c r="G156" s="265">
        <v>7.6</v>
      </c>
      <c r="H156" s="265">
        <v>4.2</v>
      </c>
    </row>
    <row r="157" spans="2:16">
      <c r="B157" s="264" t="s">
        <v>187</v>
      </c>
      <c r="C157" s="264" t="s">
        <v>28</v>
      </c>
      <c r="D157" s="264" t="s">
        <v>108</v>
      </c>
      <c r="E157" s="264" t="s">
        <v>275</v>
      </c>
      <c r="F157" s="264" t="s">
        <v>458</v>
      </c>
      <c r="G157" s="265">
        <v>35.1</v>
      </c>
      <c r="H157" s="265">
        <v>14.3</v>
      </c>
    </row>
    <row r="158" spans="2:16">
      <c r="B158" s="264" t="s">
        <v>187</v>
      </c>
      <c r="C158" s="264" t="s">
        <v>28</v>
      </c>
      <c r="D158" s="264" t="s">
        <v>108</v>
      </c>
      <c r="E158" s="264" t="s">
        <v>271</v>
      </c>
      <c r="F158" s="264" t="s">
        <v>446</v>
      </c>
      <c r="G158" s="265">
        <v>17.2</v>
      </c>
      <c r="H158" s="265">
        <v>7.8</v>
      </c>
    </row>
    <row r="159" spans="2:16">
      <c r="B159" s="264" t="s">
        <v>187</v>
      </c>
      <c r="C159" s="264" t="s">
        <v>28</v>
      </c>
      <c r="D159" s="264" t="s">
        <v>111</v>
      </c>
      <c r="E159" s="264" t="s">
        <v>280</v>
      </c>
      <c r="F159" s="264" t="s">
        <v>448</v>
      </c>
      <c r="G159" s="265">
        <v>5.4</v>
      </c>
      <c r="H159" s="265">
        <v>1.9</v>
      </c>
    </row>
    <row r="160" spans="2:16">
      <c r="B160" s="264" t="s">
        <v>187</v>
      </c>
      <c r="C160" s="264" t="s">
        <v>28</v>
      </c>
      <c r="D160" s="264" t="s">
        <v>146</v>
      </c>
      <c r="E160" s="264" t="s">
        <v>275</v>
      </c>
      <c r="F160" s="264" t="s">
        <v>458</v>
      </c>
      <c r="G160" s="265">
        <v>17.600000000000001</v>
      </c>
      <c r="H160" s="265">
        <v>7.2</v>
      </c>
    </row>
    <row r="161" spans="2:8">
      <c r="B161" s="264" t="s">
        <v>187</v>
      </c>
      <c r="C161" s="264" t="s">
        <v>28</v>
      </c>
      <c r="D161" s="264" t="s">
        <v>146</v>
      </c>
      <c r="E161" s="264" t="s">
        <v>271</v>
      </c>
      <c r="F161" s="264" t="s">
        <v>446</v>
      </c>
      <c r="G161" s="265">
        <v>8.6</v>
      </c>
      <c r="H161" s="265">
        <v>3.9</v>
      </c>
    </row>
    <row r="162" spans="2:8">
      <c r="B162" s="264" t="s">
        <v>187</v>
      </c>
      <c r="C162" s="264" t="s">
        <v>28</v>
      </c>
      <c r="D162" s="264" t="s">
        <v>109</v>
      </c>
      <c r="E162" s="264" t="s">
        <v>273</v>
      </c>
      <c r="F162" s="264" t="s">
        <v>451</v>
      </c>
      <c r="G162" s="265">
        <v>34.1</v>
      </c>
      <c r="H162" s="265">
        <v>18.100000000000001</v>
      </c>
    </row>
    <row r="163" spans="2:8">
      <c r="B163" s="264" t="s">
        <v>187</v>
      </c>
      <c r="C163" s="264" t="s">
        <v>28</v>
      </c>
      <c r="D163" s="264" t="s">
        <v>109</v>
      </c>
      <c r="E163" s="264" t="s">
        <v>275</v>
      </c>
      <c r="F163" s="264" t="s">
        <v>458</v>
      </c>
      <c r="G163" s="265">
        <v>8.8000000000000007</v>
      </c>
      <c r="H163" s="265">
        <v>3.6</v>
      </c>
    </row>
    <row r="164" spans="2:8">
      <c r="B164" s="264" t="s">
        <v>187</v>
      </c>
      <c r="C164" s="264" t="s">
        <v>28</v>
      </c>
      <c r="D164" s="264" t="s">
        <v>109</v>
      </c>
      <c r="E164" s="264" t="s">
        <v>271</v>
      </c>
      <c r="F164" s="264" t="s">
        <v>446</v>
      </c>
      <c r="G164" s="265">
        <v>4.3</v>
      </c>
      <c r="H164" s="265">
        <v>1.9</v>
      </c>
    </row>
    <row r="165" spans="2:8">
      <c r="B165" s="264" t="s">
        <v>191</v>
      </c>
      <c r="C165" s="264" t="s">
        <v>28</v>
      </c>
      <c r="D165" s="264" t="s">
        <v>267</v>
      </c>
      <c r="E165" s="264" t="s">
        <v>273</v>
      </c>
      <c r="F165" s="264" t="s">
        <v>451</v>
      </c>
      <c r="G165" s="265">
        <v>136.4</v>
      </c>
      <c r="H165" s="265">
        <v>72.3</v>
      </c>
    </row>
    <row r="166" spans="2:8">
      <c r="B166" s="264" t="s">
        <v>191</v>
      </c>
      <c r="C166" s="264" t="s">
        <v>28</v>
      </c>
      <c r="D166" s="264" t="s">
        <v>267</v>
      </c>
      <c r="E166" s="264" t="s">
        <v>271</v>
      </c>
      <c r="F166" s="264" t="s">
        <v>446</v>
      </c>
      <c r="G166" s="265">
        <v>17.2</v>
      </c>
      <c r="H166" s="265">
        <v>7.8</v>
      </c>
    </row>
    <row r="167" spans="2:8">
      <c r="B167" s="264" t="s">
        <v>191</v>
      </c>
      <c r="C167" s="264" t="s">
        <v>28</v>
      </c>
      <c r="D167" s="264" t="s">
        <v>258</v>
      </c>
      <c r="E167" s="264" t="s">
        <v>273</v>
      </c>
      <c r="F167" s="264" t="s">
        <v>451</v>
      </c>
      <c r="G167" s="265">
        <v>81.900000000000006</v>
      </c>
      <c r="H167" s="265">
        <v>43.4</v>
      </c>
    </row>
    <row r="168" spans="2:8">
      <c r="B168" s="264" t="s">
        <v>191</v>
      </c>
      <c r="C168" s="264" t="s">
        <v>28</v>
      </c>
      <c r="D168" s="264" t="s">
        <v>258</v>
      </c>
      <c r="E168" s="264" t="s">
        <v>271</v>
      </c>
      <c r="F168" s="264" t="s">
        <v>446</v>
      </c>
      <c r="G168" s="265">
        <v>10.3</v>
      </c>
      <c r="H168" s="265">
        <v>4.7</v>
      </c>
    </row>
    <row r="169" spans="2:8">
      <c r="B169" s="264" t="s">
        <v>191</v>
      </c>
      <c r="C169" s="264" t="s">
        <v>28</v>
      </c>
      <c r="D169" s="264" t="s">
        <v>172</v>
      </c>
      <c r="E169" s="264" t="s">
        <v>273</v>
      </c>
      <c r="F169" s="264" t="s">
        <v>451</v>
      </c>
      <c r="G169" s="265">
        <v>68.2</v>
      </c>
      <c r="H169" s="265">
        <v>36.1</v>
      </c>
    </row>
    <row r="170" spans="2:8">
      <c r="B170" s="264" t="s">
        <v>191</v>
      </c>
      <c r="C170" s="264" t="s">
        <v>28</v>
      </c>
      <c r="D170" s="264" t="s">
        <v>172</v>
      </c>
      <c r="E170" s="264" t="s">
        <v>271</v>
      </c>
      <c r="F170" s="264" t="s">
        <v>446</v>
      </c>
      <c r="G170" s="265">
        <v>8.6</v>
      </c>
      <c r="H170" s="265">
        <v>3.9</v>
      </c>
    </row>
    <row r="171" spans="2:8">
      <c r="B171" s="264" t="s">
        <v>191</v>
      </c>
      <c r="C171" s="264" t="s">
        <v>28</v>
      </c>
      <c r="D171" s="264" t="s">
        <v>267</v>
      </c>
      <c r="E171" s="264" t="s">
        <v>275</v>
      </c>
      <c r="F171" s="264" t="s">
        <v>465</v>
      </c>
      <c r="G171" s="265">
        <v>27.2</v>
      </c>
      <c r="H171" s="265">
        <v>11.1</v>
      </c>
    </row>
    <row r="172" spans="2:8">
      <c r="B172" s="264" t="s">
        <v>191</v>
      </c>
      <c r="C172" s="264" t="s">
        <v>28</v>
      </c>
      <c r="D172" s="264" t="s">
        <v>108</v>
      </c>
      <c r="E172" s="264" t="s">
        <v>275</v>
      </c>
      <c r="F172" s="264" t="s">
        <v>465</v>
      </c>
      <c r="G172" s="265">
        <v>16.3</v>
      </c>
      <c r="H172" s="265">
        <v>6.7</v>
      </c>
    </row>
    <row r="173" spans="2:8">
      <c r="B173" s="264" t="s">
        <v>191</v>
      </c>
      <c r="C173" s="264" t="s">
        <v>28</v>
      </c>
      <c r="D173" s="264" t="s">
        <v>108</v>
      </c>
      <c r="E173" s="264" t="s">
        <v>272</v>
      </c>
      <c r="F173" s="264" t="s">
        <v>448</v>
      </c>
      <c r="G173" s="265">
        <v>7.6</v>
      </c>
      <c r="H173" s="265">
        <v>4.2</v>
      </c>
    </row>
    <row r="174" spans="2:8">
      <c r="B174" s="264" t="s">
        <v>191</v>
      </c>
      <c r="C174" s="264" t="s">
        <v>28</v>
      </c>
      <c r="D174" s="264" t="s">
        <v>146</v>
      </c>
      <c r="E174" s="264" t="s">
        <v>275</v>
      </c>
      <c r="F174" s="264" t="s">
        <v>465</v>
      </c>
      <c r="G174" s="265">
        <v>13.6</v>
      </c>
      <c r="H174" s="265">
        <v>5.5</v>
      </c>
    </row>
    <row r="175" spans="2:8">
      <c r="B175" s="264" t="s">
        <v>191</v>
      </c>
      <c r="C175" s="264" t="s">
        <v>28</v>
      </c>
      <c r="D175" s="264" t="s">
        <v>111</v>
      </c>
      <c r="E175" s="264" t="s">
        <v>272</v>
      </c>
      <c r="F175" s="264" t="s">
        <v>448</v>
      </c>
      <c r="G175" s="265">
        <v>5.4</v>
      </c>
      <c r="H175" s="265">
        <v>1.9</v>
      </c>
    </row>
    <row r="176" spans="2:8">
      <c r="B176" s="264" t="s">
        <v>191</v>
      </c>
      <c r="C176" s="264" t="s">
        <v>28</v>
      </c>
      <c r="D176" s="264" t="s">
        <v>109</v>
      </c>
      <c r="E176" s="264" t="s">
        <v>275</v>
      </c>
      <c r="F176" s="264" t="s">
        <v>465</v>
      </c>
      <c r="G176" s="265">
        <v>8.1</v>
      </c>
      <c r="H176" s="265">
        <v>3.3</v>
      </c>
    </row>
    <row r="177" spans="2:8">
      <c r="B177" s="264" t="s">
        <v>191</v>
      </c>
      <c r="C177" s="264" t="s">
        <v>28</v>
      </c>
      <c r="D177" s="264" t="s">
        <v>173</v>
      </c>
      <c r="E177" s="264" t="s">
        <v>273</v>
      </c>
      <c r="F177" s="264" t="s">
        <v>451</v>
      </c>
      <c r="G177" s="265">
        <v>40.9</v>
      </c>
      <c r="H177" s="265">
        <v>21.7</v>
      </c>
    </row>
    <row r="178" spans="2:8">
      <c r="B178" s="264" t="s">
        <v>191</v>
      </c>
      <c r="C178" s="264" t="s">
        <v>28</v>
      </c>
      <c r="D178" s="264" t="s">
        <v>173</v>
      </c>
      <c r="E178" s="264" t="s">
        <v>271</v>
      </c>
      <c r="F178" s="264" t="s">
        <v>446</v>
      </c>
      <c r="G178" s="265">
        <v>5.2</v>
      </c>
      <c r="H178" s="265">
        <v>2.2999999999999998</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 
</file>

<file path=customXml/item6.xml><?xml version="1.0" encoding="utf-8"?>
<ct:contentTypeSchema xmlns:ct="http://schemas.microsoft.com/office/2006/metadata/contentType" xmlns:ma="http://schemas.microsoft.com/office/2006/metadata/properties/metaAttributes" ct:_="" ma:_="" ma:contentTypeName="Dokument" ma:contentTypeID="0x01010073366ED2B897854BB64673F456C1A6B4" ma:contentTypeVersion="9" ma:contentTypeDescription="Opprett et nytt dokument." ma:contentTypeScope="" ma:versionID="0d1e23834f9c0ca02c5264734e5fa3db">
  <xsd:schema xmlns:xsd="http://www.w3.org/2001/XMLSchema" xmlns:xs="http://www.w3.org/2001/XMLSchema" xmlns:p="http://schemas.microsoft.com/office/2006/metadata/properties" xmlns:ns2="34401bd3-40af-4a30-a8e4-7ddbb939e5ef" xmlns:ns3="d003a215-8b1f-40d6-8dd8-fec02618885f" targetNamespace="http://schemas.microsoft.com/office/2006/metadata/properties" ma:root="true" ma:fieldsID="6fe8cb378dd4c41870e5b8866634bd9b" ns2:_="" ns3:_="">
    <xsd:import namespace="34401bd3-40af-4a30-a8e4-7ddbb939e5ef"/>
    <xsd:import namespace="d003a215-8b1f-40d6-8dd8-fec0261888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01bd3-40af-4a30-a8e4-7ddbb939e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03a215-8b1f-40d6-8dd8-fec02618885f"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7"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B6097-A2BE-424E-9F57-CBDF00BD6989}"/>
</file>

<file path=customXml/itemProps2.xml><?xml version="1.0" encoding="utf-8"?>
<ds:datastoreItem xmlns:ds="http://schemas.openxmlformats.org/officeDocument/2006/customXml" ds:itemID="{AA84AC90-CAFC-4B85-AAC1-7314857908E1}"/>
</file>

<file path=customXml/itemProps3.xml><?xml version="1.0" encoding="utf-8"?>
<ds:datastoreItem xmlns:ds="http://schemas.openxmlformats.org/officeDocument/2006/customXml" ds:itemID="{7747A793-8F59-45E7-8305-890148081A98}"/>
</file>

<file path=customXml/itemProps4.xml><?xml version="1.0" encoding="utf-8"?>
<ds:datastoreItem xmlns:ds="http://schemas.openxmlformats.org/officeDocument/2006/customXml" ds:itemID="{FB77C4AD-500C-40FF-81E7-3E5B2604AD37}"/>
</file>

<file path=customXml/itemProps5.xml><?xml version="1.0" encoding="utf-8"?>
<ds:datastoreItem xmlns:ds="http://schemas.openxmlformats.org/officeDocument/2006/customXml" ds:itemID="{B24739B0-CFCD-4C5B-B391-0FA593121782}"/>
</file>

<file path=customXml/itemProps6.xml><?xml version="1.0" encoding="utf-8"?>
<ds:datastoreItem xmlns:ds="http://schemas.openxmlformats.org/officeDocument/2006/customXml" ds:itemID="{9600B1E5-A446-4E35-9955-1DDC7C98BCE8}"/>
</file>

<file path=docProps/app.xml><?xml version="1.0" encoding="utf-8"?>
<Properties xmlns="http://schemas.openxmlformats.org/officeDocument/2006/extended-properties" xmlns:vt="http://schemas.openxmlformats.org/officeDocument/2006/docPropsVTypes">
  <Application>Microsoft Excel Online</Application>
  <Manager/>
  <Company>Mattilsynet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NZ Birds and Mammals MixTox Calculator for Tier 1</dc:title>
  <dc:subject/>
  <dc:creator>Mathilde Hauge Skarsjø;vili.marttila@tukes.fi</dc:creator>
  <cp:keywords/>
  <dc:description/>
  <cp:lastModifiedBy>Marttila Vili (Tukes)</cp:lastModifiedBy>
  <cp:revision/>
  <dcterms:created xsi:type="dcterms:W3CDTF">2017-10-04T10:47:23Z</dcterms:created>
  <dcterms:modified xsi:type="dcterms:W3CDTF">2021-12-03T16:42:40Z</dcterms:modified>
  <cp:category/>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4e7fc724-c895-43f1-a59f-6dc10e0edb01</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0x01010073366ED2B897854BB64673F456C1A6B4</vt:lpwstr>
  </property>
</Properties>
</file>